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10" windowWidth="19320" windowHeight="9405" tabRatio="882" activeTab="2"/>
  </bookViews>
  <sheets>
    <sheet name="Relação de Tabelas" sheetId="34" r:id="rId1"/>
    <sheet name="1. Receita Compulsória Líquida" sheetId="1" r:id="rId2"/>
    <sheet name="2.Custos Ed.Básica e Ed.Continu" sheetId="12" r:id="rId3"/>
    <sheet name="3.Atend._Ed.Básica e Ed.Continu" sheetId="20" r:id="rId4"/>
    <sheet name="4.Atend.Grat._Ed.Bás. e Ed.Cont" sheetId="22" r:id="rId5"/>
    <sheet name="5.Custo Atend_Ed.Bás. e Ed.Cont" sheetId="16" r:id="rId6"/>
    <sheet name="6.Custo Grat_Ed.Bás. e Cont." sheetId="18" r:id="rId7"/>
    <sheet name="7. Tabela Resumo" sheetId="32" r:id="rId8"/>
    <sheet name="Consolidação" sheetId="3" r:id="rId9"/>
  </sheets>
  <definedNames>
    <definedName name="_xlnm.Print_Area" localSheetId="1">'1. Receita Compulsória Líquida'!$A$2:$G$12</definedName>
    <definedName name="_xlnm.Print_Area" localSheetId="2">'2.Custos Ed.Básica e Ed.Continu'!$A$2:$H$12</definedName>
    <definedName name="_xlnm.Print_Area" localSheetId="3">'3.Atend._Ed.Básica e Ed.Continu'!$A$2:$O$9</definedName>
    <definedName name="_xlnm.Print_Area" localSheetId="0">'Relação de Tabelas'!$A$1:$H$42</definedName>
  </definedNames>
  <calcPr calcId="124519"/>
</workbook>
</file>

<file path=xl/calcChain.xml><?xml version="1.0" encoding="utf-8"?>
<calcChain xmlns="http://schemas.openxmlformats.org/spreadsheetml/2006/main">
  <c r="C25" i="3"/>
  <c r="U8" i="18"/>
  <c r="U8" i="16"/>
  <c r="U8" i="22"/>
  <c r="U8" i="20"/>
  <c r="U8" i="12"/>
  <c r="T8" i="16"/>
  <c r="S8"/>
  <c r="R8"/>
  <c r="Q8"/>
  <c r="C8"/>
  <c r="K8" i="18"/>
  <c r="J8"/>
  <c r="H8"/>
  <c r="G8"/>
  <c r="O8" i="22"/>
  <c r="N8"/>
  <c r="M8"/>
  <c r="L8"/>
  <c r="K8"/>
  <c r="J8"/>
  <c r="I8"/>
  <c r="B8"/>
  <c r="G8"/>
  <c r="E8"/>
  <c r="D8"/>
  <c r="A8"/>
  <c r="H8" s="1"/>
  <c r="I8" i="20"/>
  <c r="I8" i="16" s="1"/>
  <c r="P8" i="20"/>
  <c r="P8" i="16" s="1"/>
  <c r="N8" i="20"/>
  <c r="N8" i="16" s="1"/>
  <c r="M8" i="20"/>
  <c r="M8" i="16" s="1"/>
  <c r="L8" i="20"/>
  <c r="L8" i="16" s="1"/>
  <c r="K8" i="20"/>
  <c r="J8"/>
  <c r="O8"/>
  <c r="O8" i="16" s="1"/>
  <c r="F8" i="20"/>
  <c r="F8" i="16" s="1"/>
  <c r="G8" i="20"/>
  <c r="E8"/>
  <c r="E8" i="16" s="1"/>
  <c r="D8" i="20"/>
  <c r="D8" i="16" s="1"/>
  <c r="B8" i="20"/>
  <c r="B8" i="16" s="1"/>
  <c r="A8" i="20"/>
  <c r="K8" i="12"/>
  <c r="K8" i="16" s="1"/>
  <c r="J8" i="12"/>
  <c r="G8"/>
  <c r="F7" i="1"/>
  <c r="J8" i="16" l="1"/>
  <c r="H8" i="20"/>
  <c r="A8" i="16"/>
  <c r="G8"/>
  <c r="H8" i="12"/>
  <c r="H8" i="16" s="1"/>
  <c r="C9" i="3"/>
  <c r="C8"/>
  <c r="C7"/>
  <c r="G8" i="32"/>
  <c r="C22" i="3" s="1"/>
  <c r="D7" i="1"/>
  <c r="C27" i="3" l="1"/>
  <c r="C28"/>
  <c r="C10"/>
  <c r="F8" i="32"/>
  <c r="A8" l="1"/>
  <c r="H8" s="1"/>
  <c r="C16" i="3"/>
  <c r="C18" s="1"/>
  <c r="E8" i="32"/>
  <c r="B8" l="1"/>
  <c r="C21" i="3" s="1"/>
  <c r="C24" s="1"/>
  <c r="C8" i="32" l="1"/>
  <c r="C12" i="3"/>
  <c r="C14" s="1"/>
</calcChain>
</file>

<file path=xl/sharedStrings.xml><?xml version="1.0" encoding="utf-8"?>
<sst xmlns="http://schemas.openxmlformats.org/spreadsheetml/2006/main" count="233" uniqueCount="109">
  <si>
    <t>Receita Compulsória Bruta</t>
  </si>
  <si>
    <t xml:space="preserve"> </t>
  </si>
  <si>
    <t>RECEITAS</t>
  </si>
  <si>
    <t>Receita de Contribuição Compulsória Bruta</t>
  </si>
  <si>
    <t>(=) Receita de Contribuição Compulsória Líquida (RCCL)</t>
  </si>
  <si>
    <t>DESPESAS</t>
  </si>
  <si>
    <t>em Gratuidade</t>
  </si>
  <si>
    <t>Resultado do Cumprimento da Aplicação de Recursos em Gratuidade</t>
  </si>
  <si>
    <t>Percentual da Receita Líquida de Contribuição Destinado à Gratuidade</t>
  </si>
  <si>
    <t>TABELA 1: Detalhamento da Receita de Contribuição Compulsória</t>
  </si>
  <si>
    <t>Nota:</t>
  </si>
  <si>
    <t>Notas:</t>
  </si>
  <si>
    <t>DESPESA TOTAL COM GRATUIDADE</t>
  </si>
  <si>
    <t>Ed. Básica</t>
  </si>
  <si>
    <t>Ed. Continuada</t>
  </si>
  <si>
    <t>Compromisso de Aplicação de Recursos em Educação¹</t>
  </si>
  <si>
    <t>Resultado do Cumprimento da Aplicação de Recursos em Educação</t>
  </si>
  <si>
    <t>Percentual da Receita Líquida de Contribuição Destinado à Educação</t>
  </si>
  <si>
    <t>Compromisso de Aplicação de Recursos em Gratuidade²</t>
  </si>
  <si>
    <r>
      <rPr>
        <b/>
        <sz val="10"/>
        <color theme="1"/>
        <rFont val="Calibri"/>
        <family val="2"/>
        <scheme val="minor"/>
      </rPr>
      <t>1. Compromisso de Aplicação de Recursos em Educação Básica e Continuada:</t>
    </r>
    <r>
      <rPr>
        <sz val="10"/>
        <color theme="1"/>
        <rFont val="Calibri"/>
        <family val="2"/>
        <scheme val="minor"/>
      </rPr>
      <t xml:space="preserve"> Corresponde à 33,33% da Receita Líquida de Contribuição Compulsória (RLCC);
</t>
    </r>
    <r>
      <rPr>
        <b/>
        <sz val="10"/>
        <color theme="1"/>
        <rFont val="Calibri"/>
        <family val="2"/>
        <scheme val="minor"/>
      </rPr>
      <t>2. Compromisso de Aplicação de Recursos em Gratuidade:</t>
    </r>
    <r>
      <rPr>
        <sz val="10"/>
        <color theme="1"/>
        <rFont val="Calibri"/>
        <family val="2"/>
        <scheme val="minor"/>
      </rPr>
      <t xml:space="preserve"> Corresponde à 16,67% da Receita Líquida de Contribuição Compulsória (RLCC);
</t>
    </r>
    <r>
      <rPr>
        <b/>
        <sz val="10"/>
        <color theme="1"/>
        <rFont val="Calibri"/>
        <family val="2"/>
        <scheme val="minor"/>
      </rPr>
      <t>3. Saldo de exercício anterior:</t>
    </r>
    <r>
      <rPr>
        <sz val="10"/>
        <color theme="1"/>
        <rFont val="Calibri"/>
        <family val="2"/>
        <scheme val="minor"/>
      </rPr>
      <t xml:space="preserve"> Corresponde a diferença entre a despesa total realizada em gratuidade e o compromisso de aplicação no exercício anterior;
</t>
    </r>
    <r>
      <rPr>
        <b/>
        <sz val="10"/>
        <color theme="1"/>
        <rFont val="Calibri"/>
        <family val="2"/>
        <scheme val="minor"/>
      </rPr>
      <t>4. Compromisso Total de Aplicação em Educação: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educação no exercício corrente e o saldo do exercício anterior.
</t>
    </r>
    <r>
      <rPr>
        <b/>
        <sz val="10"/>
        <color theme="1"/>
        <rFont val="Calibri"/>
        <family val="2"/>
        <scheme val="minor"/>
      </rPr>
      <t>5. Compromisso Total de Aplicação em Gratuidade: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gratuidade no exercício corrente e o saldo do exercício anterior.</t>
    </r>
  </si>
  <si>
    <t>(+/-) Saldo do Exercício Anterior³</t>
  </si>
  <si>
    <r>
      <t>(=) Compromisso Total de Aplicação em Educação</t>
    </r>
    <r>
      <rPr>
        <vertAlign val="superscript"/>
        <sz val="10"/>
        <rFont val="Calibri"/>
        <family val="2"/>
        <scheme val="minor"/>
      </rPr>
      <t>4</t>
    </r>
  </si>
  <si>
    <r>
      <t>(=) Compromisso Total de Aplicação em Gratuidade</t>
    </r>
    <r>
      <rPr>
        <vertAlign val="superscript"/>
        <sz val="10"/>
        <rFont val="Calibri"/>
        <family val="2"/>
        <scheme val="minor"/>
      </rPr>
      <t>5</t>
    </r>
  </si>
  <si>
    <t>Fontes:</t>
  </si>
  <si>
    <r>
      <t xml:space="preserve">1. </t>
    </r>
    <r>
      <rPr>
        <b/>
        <sz val="9"/>
        <color theme="1"/>
        <rFont val="Calibri"/>
        <family val="2"/>
        <scheme val="minor"/>
      </rPr>
      <t>Tabela 1:</t>
    </r>
    <r>
      <rPr>
        <sz val="9"/>
        <color theme="1"/>
        <rFont val="Calibri"/>
        <family val="2"/>
        <scheme val="minor"/>
      </rPr>
      <t xml:space="preserve"> Detalhamento da Receita de Contribuição Compulsória</t>
    </r>
  </si>
  <si>
    <t>RELAÇÃO DE TABELAS</t>
  </si>
  <si>
    <t>TABELA 1.</t>
  </si>
  <si>
    <t>em reais (R$)</t>
  </si>
  <si>
    <t>TABELA 7.</t>
  </si>
  <si>
    <t>% da Receita Líquida de Contribuição  em Educação (meta: 33,33%)</t>
  </si>
  <si>
    <t>Despesa Total com Gratuidade Regulamentar</t>
  </si>
  <si>
    <t>% da Receita Líquida de Contribuição em Gratuidade Regulamentar (meta: 16,67%)</t>
  </si>
  <si>
    <t>PROGRAMA EDUCAÇÃO</t>
  </si>
  <si>
    <t>BIBLIOTECA</t>
  </si>
  <si>
    <t>PROGRAMA CULTURA</t>
  </si>
  <si>
    <t>TURISMO SOCIAL</t>
  </si>
  <si>
    <t>PROGRAMA LAZER</t>
  </si>
  <si>
    <t>PROGRAMA SAÚDE</t>
  </si>
  <si>
    <t>EDUCAÇÃO EM SAÚDE</t>
  </si>
  <si>
    <t>PROGRAMA ASSISTÊNCIA</t>
  </si>
  <si>
    <t>EDUCAÇÃO INFANTIL</t>
  </si>
  <si>
    <t>ENSINO MÉDIO</t>
  </si>
  <si>
    <t>EDUCAÇÃO DE JOVENS E ADULTOS</t>
  </si>
  <si>
    <t>EDUCAÇÃO COMPLEMENTAR</t>
  </si>
  <si>
    <t>CURSOS DE VALORIZAÇÃO SOCIAL</t>
  </si>
  <si>
    <r>
      <rPr>
        <b/>
        <sz val="10"/>
        <color theme="1"/>
        <rFont val="Calibri"/>
        <family val="2"/>
        <scheme val="minor"/>
      </rPr>
      <t>1. Atendimentos:</t>
    </r>
    <r>
      <rPr>
        <sz val="10"/>
        <color theme="1"/>
        <rFont val="Calibri"/>
        <family val="2"/>
        <scheme val="minor"/>
      </rPr>
      <t xml:space="preserve"> Registro da presença da clientela enquanto usufruir de um serviço (ação em Educação Básica e/ou Continuada) ofertado pelo Sesc. (Portaria "N" Sesc N° 491/2004)
</t>
    </r>
  </si>
  <si>
    <t>RECREAÇÃO</t>
  </si>
  <si>
    <r>
      <t xml:space="preserve">1. </t>
    </r>
    <r>
      <rPr>
        <sz val="10"/>
        <color theme="1"/>
        <rFont val="Calibri"/>
        <family val="2"/>
        <scheme val="minor"/>
      </rPr>
      <t>Receita Líquida: Corresponde a Receita Compulsória Bruta deduzida da remuneração devida ao órgão arrecadador e da contribuição à CNC e às Federações, conforme § 2º do artigo 26 do Decreto nº 6.632 de 5 de novembro de 2008.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</si>
  <si>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</si>
  <si>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</si>
  <si>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Detalhamento da Receita de Contribuição Compulsória</t>
  </si>
  <si>
    <t>Contribuição à Federação</t>
  </si>
  <si>
    <t>Receita Compulsória Líquida*</t>
  </si>
  <si>
    <r>
      <t xml:space="preserve">* </t>
    </r>
    <r>
      <rPr>
        <sz val="10"/>
        <rFont val="Calibri"/>
        <family val="2"/>
        <scheme val="minor"/>
      </rPr>
      <t>Receita Compulsória Líquida: Corresponde a Receita Compulsória Bruta deduzida da remuneração devida ao órgão arrecadador e da contribuição à CNC e às Federações, conforme § 2º do artigo 26 do Decreto nº 6.632 de 5 de novembro de 2008.</t>
    </r>
  </si>
  <si>
    <t>Comissão paga ao órgão arrecadador</t>
  </si>
  <si>
    <t>Subtotal</t>
  </si>
  <si>
    <t>CUSTOS TOTAIS EM EDUCAÇÃO BÁSICA</t>
  </si>
  <si>
    <t>TABELA 2: Custos Totais Realizados em Educação Básica e em Educação Continuada ou Ações Educativas relacionadas aos demais Programas</t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</si>
  <si>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</si>
  <si>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TABELA 3: Atendimentos Totais Realizados em Educação Básica e em Educação Continuada ou Ações Educativas relacionadas aos demais Programas</t>
  </si>
  <si>
    <t>ATENDIMENTOS TOTAIS EM EDUCAÇÃO BÁSICA</t>
  </si>
  <si>
    <t>CUSTOS TOTAIS EM EDUCAÇÃO CONTINUADA OU AÇÕES EDUCATIVAS</t>
  </si>
  <si>
    <t>ATENDIMENTOS TOTAIS EM EDUCAÇÃO CONTINUADA OU AÇÕES EDUCATIVAS</t>
  </si>
  <si>
    <t>TABELA 4: Atendimentos  Realizados na Gratuidade em Educação Básica e em Educação Continuada ou Ações Educativas relacionadas aos demais Programas</t>
  </si>
  <si>
    <t>ATENDIMENTOS DA GRATUIDADE EM EDUCAÇÃO BÁSICA</t>
  </si>
  <si>
    <t>ATENDIMENTOS DA GRATUIDADE EM EDUCAÇÃO CONTINUADA OU AÇÕES EDUCATIVAS</t>
  </si>
  <si>
    <t>TABELA 5: Custos Unitário dos Atendimentos Realizados em Educação Básica e em Educação Continuada ou Ações Educativas relacionadas aos demais Programas</t>
  </si>
  <si>
    <t>CUSTOS UNITÁRIOS EM EDUCAÇÃO BÁSICA</t>
  </si>
  <si>
    <t>CUSTOS UNITÁRIOS EM EDUCAÇÃO CONTINUADA OU AÇÕES EDUCATIVAS</t>
  </si>
  <si>
    <t>CUSTOS GRATUIDADE EM EDUCAÇÃO BÁSICA</t>
  </si>
  <si>
    <t>CUSTOS GRATUIDADE EM EDUCAÇÃO CONTINUADA OU AÇÕES EDUCATIVAS</t>
  </si>
  <si>
    <r>
      <t xml:space="preserve">2. </t>
    </r>
    <r>
      <rPr>
        <b/>
        <sz val="9"/>
        <color theme="1"/>
        <rFont val="Calibri"/>
        <family val="2"/>
        <scheme val="minor"/>
      </rPr>
      <t>Tabela 2:</t>
    </r>
    <r>
      <rPr>
        <sz val="9"/>
        <color theme="1"/>
        <rFont val="Calibri"/>
        <family val="2"/>
        <scheme val="minor"/>
      </rPr>
      <t xml:space="preserve"> Despesa Total Realizada em Educação Básica, Técnica e Superior e em Educação Continuada ou ações educativas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</si>
  <si>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Tabela 6: </t>
    </r>
    <r>
      <rPr>
        <sz val="10"/>
        <color theme="1"/>
        <rFont val="Calibri"/>
        <family val="2"/>
        <scheme val="minor"/>
      </rPr>
      <t>Despesa Total com Gratuidade Regulamentar em Educação Básica, Técnica e Superior e em Educação Continuada ou ações educativas</t>
    </r>
  </si>
  <si>
    <t xml:space="preserve">(-) Comissão ao órgão arrecadador </t>
  </si>
  <si>
    <t>(-) Contribuição para a Federação</t>
  </si>
  <si>
    <t>TABELA 2.</t>
  </si>
  <si>
    <t>TABELA 3.</t>
  </si>
  <si>
    <t>TABELA 4.</t>
  </si>
  <si>
    <t>TABELA 5.</t>
  </si>
  <si>
    <t>TABELA 6.</t>
  </si>
  <si>
    <t>CONSOLIDAÇÃO</t>
  </si>
  <si>
    <t>Custos Totais Realizados em Educação Básica e em Educação Continuada ou Ações Educativas relacionadas aos demais Programas</t>
  </si>
  <si>
    <t>Atendimentos Totais Realizados em Educação Básica e em Educação Continuada ou Ações Educativas relacionadas aos demais Programas</t>
  </si>
  <si>
    <t>Atendimentos  Realizados na Gratuidade em Educação Básica e em Educação Continuada ou Ações Educativas relacionadas aos demais Programas</t>
  </si>
  <si>
    <t>Custos Unitário dos Atendimentos Realizados em Educação Básica e em Educação Continuada ou Ações Educativas relacionadas aos demais Programas</t>
  </si>
  <si>
    <t>TABELA 6: Custos Realizados na Gratuidade em Educação Básica e em Educação Continuada ou Ações Educativas relacionadas aos demais Programas</t>
  </si>
  <si>
    <t>Custos Realizados na Gratuidade em Educação Básica e em Educação Continuada ou Ações Educativas relacionadas aos demais Programas</t>
  </si>
  <si>
    <t>em Comprometimento (PCG total)</t>
  </si>
  <si>
    <t>RESUMO
Demonstrativo do Cumprimento da Aplicação de Recursos em Comprometimento (PCG total) e Gratuidade</t>
  </si>
  <si>
    <t>Demonstrativo do Cumprimento da Aplicação de Recursos em Comprometimento (PCG total) e Gratuidade</t>
  </si>
  <si>
    <t>Resumo das Despesas Realizadas no Compromentimento (PCG total) e na Gratuidade</t>
  </si>
  <si>
    <t>TABELA 7: Resumo das Despesas Realizadas no Compromentimento (PCG total) e na Gratuidade</t>
  </si>
  <si>
    <t>Despesa Total em Educação Básica e Continuada         (PCG total)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</si>
  <si>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Relatrório de Gestão 2017</t>
    </r>
  </si>
  <si>
    <t>DEPARTAMENTO REGIONAL DO SESC EM SANTA CATARINA
ACOMPANHAMENTO DO PROGRAMA DE COMPROMETIMENTO E GRATUIDADE (PCG)
RESULTADOS - ANO 2017</t>
  </si>
  <si>
    <t>Fonte: Relatrório de Gestão 2017</t>
  </si>
  <si>
    <t>Fonte: Relatório de Gestão 2017</t>
  </si>
  <si>
    <t>ANO 2017</t>
  </si>
  <si>
    <r>
      <t xml:space="preserve">Fonte: </t>
    </r>
    <r>
      <rPr>
        <sz val="9"/>
        <color theme="1"/>
        <rFont val="Calibri"/>
        <family val="2"/>
        <scheme val="minor"/>
      </rPr>
      <t>Relatrório de Gestão 2017</t>
    </r>
  </si>
  <si>
    <t>ENSINO FUNDAMENTAL</t>
  </si>
  <si>
    <t>EDUCAÇÃO EM CIÊNCIAS E HUMANIDADES</t>
  </si>
  <si>
    <t>ARTES CÊNICAS</t>
  </si>
  <si>
    <t>ARTES VISUAIS</t>
  </si>
  <si>
    <t>MÚSICA</t>
  </si>
  <si>
    <t>LITERATURA</t>
  </si>
  <si>
    <t>AUDIOVISUAL</t>
  </si>
  <si>
    <t>DESENVOLVIMENTO FÍSICO-ESPORTIVO - FORMAÇÃO ESPORTIVA</t>
  </si>
  <si>
    <t>DESENVOLVIMENTO COMUNITÁRIO</t>
  </si>
  <si>
    <t>TRABALHO SOCIAL COM GRUPOS</t>
  </si>
</sst>
</file>

<file path=xl/styles.xml><?xml version="1.0" encoding="utf-8"?>
<styleSheet xmlns="http://schemas.openxmlformats.org/spreadsheetml/2006/main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&quot;R$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17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Protection="1"/>
    <xf numFmtId="164" fontId="4" fillId="0" borderId="0" xfId="1" applyNumberFormat="1" applyFont="1" applyProtection="1"/>
    <xf numFmtId="4" fontId="2" fillId="0" borderId="0" xfId="0" applyNumberFormat="1" applyFont="1" applyAlignment="1" applyProtection="1">
      <alignment horizontal="center" vertical="center" wrapText="1"/>
    </xf>
    <xf numFmtId="164" fontId="4" fillId="0" borderId="0" xfId="1" applyNumberFormat="1" applyFont="1" applyFill="1" applyBorder="1" applyProtection="1"/>
    <xf numFmtId="0" fontId="2" fillId="0" borderId="0" xfId="0" applyFont="1" applyProtection="1"/>
    <xf numFmtId="39" fontId="4" fillId="0" borderId="0" xfId="1" applyNumberFormat="1" applyFont="1" applyBorder="1" applyProtection="1"/>
    <xf numFmtId="0" fontId="4" fillId="0" borderId="0" xfId="0" applyFont="1"/>
    <xf numFmtId="165" fontId="4" fillId="0" borderId="0" xfId="2" applyNumberFormat="1" applyFont="1"/>
    <xf numFmtId="43" fontId="3" fillId="0" borderId="0" xfId="0" applyNumberFormat="1" applyFont="1"/>
    <xf numFmtId="43" fontId="3" fillId="0" borderId="0" xfId="1" applyFont="1"/>
    <xf numFmtId="165" fontId="3" fillId="0" borderId="0" xfId="2" applyNumberFormat="1" applyFont="1"/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166" fontId="4" fillId="0" borderId="13" xfId="1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 applyProtection="1">
      <alignment horizontal="left" vertical="center" wrapText="1"/>
    </xf>
    <xf numFmtId="166" fontId="2" fillId="0" borderId="13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6" fontId="4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6" fontId="2" fillId="0" borderId="13" xfId="1" applyNumberFormat="1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9" xfId="0" applyFont="1" applyFill="1" applyBorder="1"/>
    <xf numFmtId="0" fontId="4" fillId="0" borderId="14" xfId="0" applyFont="1" applyFill="1" applyBorder="1"/>
    <xf numFmtId="4" fontId="4" fillId="0" borderId="6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164" fontId="11" fillId="0" borderId="0" xfId="0" applyNumberFormat="1" applyFont="1" applyBorder="1" applyAlignment="1" applyProtection="1">
      <alignment vertical="center" wrapText="1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vertical="top"/>
    </xf>
    <xf numFmtId="164" fontId="16" fillId="0" borderId="0" xfId="0" applyNumberFormat="1" applyFont="1" applyAlignment="1" applyProtection="1">
      <alignment horizontal="left" vertical="top"/>
    </xf>
    <xf numFmtId="164" fontId="16" fillId="0" borderId="0" xfId="0" applyNumberFormat="1" applyFont="1" applyAlignment="1" applyProtection="1">
      <alignment vertical="top"/>
    </xf>
    <xf numFmtId="7" fontId="17" fillId="0" borderId="0" xfId="3" applyNumberFormat="1" applyFont="1" applyAlignment="1" applyProtection="1">
      <alignment horizontal="right" wrapText="1"/>
    </xf>
    <xf numFmtId="167" fontId="4" fillId="0" borderId="13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3" fontId="4" fillId="0" borderId="4" xfId="1" applyNumberFormat="1" applyFont="1" applyFill="1" applyBorder="1" applyProtection="1"/>
    <xf numFmtId="3" fontId="2" fillId="0" borderId="4" xfId="1" applyNumberFormat="1" applyFont="1" applyFill="1" applyBorder="1" applyProtection="1"/>
    <xf numFmtId="4" fontId="4" fillId="0" borderId="4" xfId="1" applyNumberFormat="1" applyFont="1" applyFill="1" applyBorder="1" applyAlignment="1" applyProtection="1">
      <alignment vertical="center"/>
    </xf>
    <xf numFmtId="4" fontId="2" fillId="0" borderId="4" xfId="1" applyNumberFormat="1" applyFont="1" applyFill="1" applyBorder="1" applyAlignment="1" applyProtection="1">
      <alignment vertical="center"/>
    </xf>
    <xf numFmtId="4" fontId="3" fillId="0" borderId="0" xfId="0" applyNumberFormat="1" applyFont="1" applyAlignment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center"/>
    </xf>
    <xf numFmtId="4" fontId="4" fillId="0" borderId="17" xfId="1" applyNumberFormat="1" applyFont="1" applyFill="1" applyBorder="1" applyAlignment="1" applyProtection="1">
      <alignment vertical="center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Protection="1"/>
    <xf numFmtId="4" fontId="4" fillId="0" borderId="0" xfId="0" applyNumberFormat="1" applyFont="1" applyProtection="1"/>
    <xf numFmtId="4" fontId="2" fillId="0" borderId="0" xfId="0" applyNumberFormat="1" applyFont="1" applyProtection="1"/>
    <xf numFmtId="4" fontId="4" fillId="0" borderId="10" xfId="1" applyNumberFormat="1" applyFont="1" applyFill="1" applyBorder="1" applyAlignment="1" applyProtection="1">
      <alignment vertical="center"/>
    </xf>
    <xf numFmtId="165" fontId="5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4" fillId="0" borderId="3" xfId="1" applyFont="1" applyFill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7" fillId="0" borderId="24" xfId="1" applyNumberFormat="1" applyFont="1" applyFill="1" applyBorder="1" applyAlignment="1" applyProtection="1">
      <alignment vertical="center"/>
      <protection locked="0"/>
    </xf>
    <xf numFmtId="43" fontId="7" fillId="0" borderId="25" xfId="1" applyNumberFormat="1" applyFont="1" applyFill="1" applyBorder="1" applyAlignment="1" applyProtection="1">
      <alignment vertical="center"/>
      <protection locked="0"/>
    </xf>
    <xf numFmtId="165" fontId="7" fillId="0" borderId="26" xfId="2" applyNumberFormat="1" applyFont="1" applyFill="1" applyBorder="1" applyAlignment="1" applyProtection="1">
      <alignment horizontal="center" vertical="center"/>
      <protection locked="0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vertical="center"/>
    </xf>
    <xf numFmtId="167" fontId="19" fillId="0" borderId="13" xfId="1" applyNumberFormat="1" applyFont="1" applyFill="1" applyBorder="1" applyAlignment="1">
      <alignment horizontal="right"/>
    </xf>
    <xf numFmtId="165" fontId="19" fillId="0" borderId="13" xfId="2" applyNumberFormat="1" applyFont="1" applyFill="1" applyBorder="1"/>
    <xf numFmtId="0" fontId="21" fillId="0" borderId="0" xfId="4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/>
    <xf numFmtId="0" fontId="3" fillId="0" borderId="0" xfId="2" applyNumberFormat="1" applyFont="1"/>
    <xf numFmtId="0" fontId="3" fillId="0" borderId="0" xfId="0" applyFont="1" applyFill="1"/>
    <xf numFmtId="17" fontId="2" fillId="0" borderId="5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7" fontId="2" fillId="0" borderId="2" xfId="0" applyNumberFormat="1" applyFont="1" applyFill="1" applyBorder="1" applyAlignment="1" applyProtection="1">
      <alignment horizontal="center" vertical="center" wrapText="1"/>
    </xf>
    <xf numFmtId="17" fontId="2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17" fontId="2" fillId="0" borderId="8" xfId="0" applyNumberFormat="1" applyFont="1" applyFill="1" applyBorder="1" applyAlignment="1" applyProtection="1">
      <alignment horizontal="center" vertical="center" wrapText="1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17" fontId="2" fillId="0" borderId="11" xfId="0" applyNumberFormat="1" applyFont="1" applyFill="1" applyBorder="1" applyAlignment="1" applyProtection="1">
      <alignment horizontal="center" vertical="center" wrapText="1"/>
    </xf>
    <xf numFmtId="17" fontId="13" fillId="0" borderId="19" xfId="0" applyNumberFormat="1" applyFont="1" applyFill="1" applyBorder="1" applyAlignment="1" applyProtection="1">
      <alignment horizontal="center" vertical="center" wrapText="1"/>
    </xf>
    <xf numFmtId="17" fontId="13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13" fillId="0" borderId="21" xfId="0" applyNumberFormat="1" applyFont="1" applyFill="1" applyBorder="1" applyAlignment="1" applyProtection="1">
      <alignment horizontal="center" vertical="center" wrapText="1"/>
    </xf>
    <xf numFmtId="17" fontId="13" fillId="0" borderId="23" xfId="0" applyNumberFormat="1" applyFont="1" applyFill="1" applyBorder="1" applyAlignment="1" applyProtection="1">
      <alignment horizontal="center" vertical="center" wrapText="1"/>
    </xf>
    <xf numFmtId="17" fontId="13" fillId="0" borderId="20" xfId="0" applyNumberFormat="1" applyFont="1" applyFill="1" applyBorder="1" applyAlignment="1" applyProtection="1">
      <alignment horizontal="center" vertical="center" wrapText="1"/>
    </xf>
    <xf numFmtId="17" fontId="13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2"/>
    </xf>
    <xf numFmtId="43" fontId="2" fillId="0" borderId="4" xfId="1" applyFont="1" applyFill="1" applyBorder="1" applyAlignment="1" applyProtection="1">
      <alignment vertical="center"/>
    </xf>
  </cellXfs>
  <cellStyles count="5">
    <cellStyle name="Hyperlink" xfId="4" builtinId="8"/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199452</xdr:colOff>
      <xdr:row>1</xdr:row>
      <xdr:rowOff>66675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466277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1390077</xdr:colOff>
      <xdr:row>2</xdr:row>
      <xdr:rowOff>171450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351852</xdr:colOff>
      <xdr:row>1</xdr:row>
      <xdr:rowOff>914400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1</xdr:row>
      <xdr:rowOff>914400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351852</xdr:colOff>
      <xdr:row>2</xdr:row>
      <xdr:rowOff>161925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2</xdr:row>
      <xdr:rowOff>171450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2</xdr:row>
      <xdr:rowOff>171450</xdr:rowOff>
    </xdr:to>
    <xdr:pic>
      <xdr:nvPicPr>
        <xdr:cNvPr id="4" name="Imagem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18477</xdr:colOff>
      <xdr:row>2</xdr:row>
      <xdr:rowOff>85725</xdr:rowOff>
    </xdr:to>
    <xdr:pic>
      <xdr:nvPicPr>
        <xdr:cNvPr id="4" name="Imagem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857251</xdr:colOff>
      <xdr:row>1</xdr:row>
      <xdr:rowOff>385673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00150" cy="880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SheetLayoutView="100" workbookViewId="0">
      <selection activeCell="J20" sqref="J20"/>
    </sheetView>
  </sheetViews>
  <sheetFormatPr defaultColWidth="11.42578125" defaultRowHeight="12.75"/>
  <cols>
    <col min="1" max="1" width="1.140625" style="5" customWidth="1"/>
    <col min="2" max="2" width="19.5703125" style="6" customWidth="1"/>
    <col min="3" max="3" width="20" style="7" customWidth="1"/>
    <col min="4" max="4" width="16.85546875" style="7" customWidth="1"/>
    <col min="5" max="6" width="14.7109375" style="7" customWidth="1"/>
    <col min="7" max="7" width="18.5703125" style="7" customWidth="1"/>
    <col min="8" max="8" width="1.140625" style="8" customWidth="1"/>
    <col min="9" max="9" width="20.85546875" style="6" customWidth="1"/>
    <col min="10" max="10" width="16" style="6" customWidth="1"/>
    <col min="11" max="11" width="11.42578125" style="6"/>
    <col min="12" max="12" width="11.5703125" style="6" bestFit="1" customWidth="1"/>
    <col min="13" max="13" width="11.42578125" style="6"/>
    <col min="14" max="14" width="12.28515625" style="6" bestFit="1" customWidth="1"/>
    <col min="15" max="16384" width="11.42578125" style="6"/>
  </cols>
  <sheetData>
    <row r="1" spans="1:11" ht="79.900000000000006" customHeight="1">
      <c r="C1" s="102" t="s">
        <v>94</v>
      </c>
      <c r="D1" s="102"/>
      <c r="E1" s="102"/>
      <c r="F1" s="102"/>
      <c r="G1" s="102"/>
    </row>
    <row r="2" spans="1:11" ht="15.75">
      <c r="C2" s="54"/>
      <c r="D2" s="54"/>
      <c r="E2" s="54"/>
      <c r="F2" s="54"/>
      <c r="G2" s="54"/>
    </row>
    <row r="3" spans="1:11" ht="30.75" customHeight="1">
      <c r="B3" s="103" t="s">
        <v>25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4.25" customHeight="1">
      <c r="A4" s="5" t="s">
        <v>1</v>
      </c>
      <c r="B4" s="9"/>
      <c r="C4" s="9"/>
      <c r="D4" s="9"/>
      <c r="E4" s="9"/>
      <c r="F4" s="9"/>
      <c r="G4" s="9"/>
      <c r="H4" s="9"/>
    </row>
    <row r="5" spans="1:11" ht="14.25" customHeight="1">
      <c r="B5" s="9"/>
      <c r="C5" s="9"/>
      <c r="D5" s="9"/>
      <c r="E5" s="9"/>
      <c r="F5" s="9"/>
      <c r="G5" s="9"/>
      <c r="H5" s="9"/>
    </row>
    <row r="6" spans="1:11" s="45" customFormat="1" ht="16.350000000000001" customHeight="1">
      <c r="A6" s="43"/>
      <c r="B6" s="90" t="s">
        <v>26</v>
      </c>
      <c r="C6" s="47" t="s">
        <v>50</v>
      </c>
      <c r="D6" s="53"/>
      <c r="E6" s="53"/>
      <c r="F6" s="53"/>
      <c r="G6" s="53"/>
    </row>
    <row r="7" spans="1:11" s="45" customFormat="1" ht="15" customHeight="1">
      <c r="A7" s="43"/>
      <c r="B7" s="91"/>
      <c r="C7" s="47"/>
      <c r="D7" s="47"/>
      <c r="E7" s="47"/>
      <c r="F7" s="47"/>
      <c r="G7" s="47"/>
    </row>
    <row r="8" spans="1:11" s="45" customFormat="1" ht="16.350000000000001" customHeight="1">
      <c r="A8" s="43"/>
      <c r="B8" s="90" t="s">
        <v>75</v>
      </c>
      <c r="C8" s="47" t="s">
        <v>81</v>
      </c>
      <c r="D8" s="53"/>
      <c r="E8" s="53"/>
      <c r="F8" s="53"/>
      <c r="G8" s="53"/>
      <c r="H8" s="53"/>
      <c r="I8" s="53"/>
      <c r="J8" s="53"/>
    </row>
    <row r="9" spans="1:11" s="45" customFormat="1" ht="15" customHeight="1">
      <c r="A9" s="43"/>
      <c r="B9" s="91"/>
      <c r="C9" s="47"/>
      <c r="D9" s="47"/>
      <c r="E9" s="47"/>
      <c r="F9" s="47"/>
      <c r="G9" s="47"/>
    </row>
    <row r="10" spans="1:11" s="45" customFormat="1" ht="16.350000000000001" customHeight="1">
      <c r="A10" s="43"/>
      <c r="B10" s="90" t="s">
        <v>76</v>
      </c>
      <c r="C10" s="47" t="s">
        <v>82</v>
      </c>
      <c r="D10" s="53"/>
      <c r="E10" s="53"/>
      <c r="F10" s="53"/>
      <c r="G10" s="53"/>
      <c r="H10" s="53"/>
      <c r="I10" s="53"/>
      <c r="J10" s="53"/>
    </row>
    <row r="11" spans="1:11" s="45" customFormat="1" ht="15">
      <c r="A11" s="43"/>
      <c r="B11" s="91"/>
      <c r="C11" s="47"/>
      <c r="D11" s="47"/>
      <c r="E11" s="47"/>
      <c r="F11" s="47"/>
      <c r="G11" s="47"/>
    </row>
    <row r="12" spans="1:11" s="45" customFormat="1" ht="16.350000000000001" customHeight="1">
      <c r="A12" s="43"/>
      <c r="B12" s="90" t="s">
        <v>77</v>
      </c>
      <c r="C12" s="47" t="s">
        <v>83</v>
      </c>
      <c r="D12" s="53"/>
      <c r="E12" s="53"/>
      <c r="F12" s="53"/>
      <c r="G12" s="53"/>
      <c r="H12" s="53"/>
      <c r="I12" s="53"/>
      <c r="J12" s="53"/>
    </row>
    <row r="13" spans="1:11" s="45" customFormat="1" ht="16.5" customHeight="1">
      <c r="A13" s="43"/>
      <c r="B13" s="44"/>
      <c r="C13" s="47"/>
      <c r="D13" s="53"/>
      <c r="E13" s="53"/>
      <c r="F13" s="53"/>
      <c r="G13" s="53"/>
    </row>
    <row r="14" spans="1:11" s="45" customFormat="1" ht="16.350000000000001" customHeight="1">
      <c r="A14" s="43"/>
      <c r="B14" s="90" t="s">
        <v>78</v>
      </c>
      <c r="C14" s="47" t="s">
        <v>84</v>
      </c>
      <c r="D14" s="53"/>
      <c r="E14" s="53"/>
      <c r="F14" s="53"/>
      <c r="G14" s="53"/>
      <c r="H14" s="53"/>
      <c r="I14" s="53"/>
      <c r="J14" s="53"/>
    </row>
    <row r="15" spans="1:11" s="45" customFormat="1" ht="15">
      <c r="A15" s="43"/>
      <c r="B15" s="92"/>
      <c r="C15" s="47"/>
      <c r="D15" s="47"/>
      <c r="E15" s="47"/>
      <c r="F15" s="47"/>
      <c r="G15" s="47"/>
    </row>
    <row r="16" spans="1:11" s="45" customFormat="1" ht="16.350000000000001" customHeight="1">
      <c r="A16" s="43"/>
      <c r="B16" s="90" t="s">
        <v>79</v>
      </c>
      <c r="C16" s="46" t="s">
        <v>86</v>
      </c>
      <c r="D16" s="53"/>
      <c r="E16" s="53"/>
      <c r="F16" s="53"/>
      <c r="G16" s="53"/>
    </row>
    <row r="17" spans="1:8" s="45" customFormat="1" ht="15">
      <c r="A17" s="43"/>
      <c r="B17" s="92"/>
      <c r="C17" s="47"/>
      <c r="D17" s="47"/>
      <c r="E17" s="47"/>
      <c r="F17" s="47"/>
      <c r="G17" s="47"/>
    </row>
    <row r="18" spans="1:8" s="45" customFormat="1" ht="16.350000000000001" customHeight="1">
      <c r="A18" s="43"/>
      <c r="B18" s="90" t="s">
        <v>28</v>
      </c>
      <c r="C18" s="47" t="s">
        <v>90</v>
      </c>
      <c r="D18" s="53"/>
      <c r="E18" s="53"/>
      <c r="F18" s="53"/>
      <c r="G18" s="53"/>
    </row>
    <row r="19" spans="1:8" s="45" customFormat="1" ht="15">
      <c r="A19" s="43"/>
      <c r="B19" s="92"/>
      <c r="C19" s="47"/>
      <c r="D19" s="47"/>
      <c r="E19" s="47"/>
      <c r="F19" s="47"/>
      <c r="G19" s="47"/>
    </row>
    <row r="20" spans="1:8" ht="15.75" customHeight="1">
      <c r="B20" s="90" t="s">
        <v>80</v>
      </c>
      <c r="C20" s="47" t="s">
        <v>89</v>
      </c>
      <c r="D20" s="53"/>
      <c r="E20" s="53"/>
      <c r="F20" s="53"/>
      <c r="G20" s="53"/>
      <c r="H20" s="6"/>
    </row>
    <row r="21" spans="1:8"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  <row r="26" spans="1:8">
      <c r="H26" s="6"/>
    </row>
    <row r="27" spans="1:8">
      <c r="H27" s="6"/>
    </row>
    <row r="28" spans="1:8">
      <c r="H28" s="6"/>
    </row>
    <row r="29" spans="1:8">
      <c r="H29" s="6"/>
    </row>
    <row r="30" spans="1:8">
      <c r="H30" s="6"/>
    </row>
    <row r="31" spans="1:8">
      <c r="H31" s="6"/>
    </row>
    <row r="32" spans="1:8">
      <c r="H32" s="6"/>
    </row>
    <row r="33" spans="8:8">
      <c r="H33" s="6"/>
    </row>
    <row r="34" spans="8:8">
      <c r="H34" s="6"/>
    </row>
    <row r="35" spans="8:8">
      <c r="H35" s="6"/>
    </row>
    <row r="36" spans="8:8">
      <c r="H36" s="6"/>
    </row>
    <row r="37" spans="8:8">
      <c r="H37" s="6"/>
    </row>
    <row r="38" spans="8:8">
      <c r="H38" s="6"/>
    </row>
  </sheetData>
  <mergeCells count="2">
    <mergeCell ref="C1:G1"/>
    <mergeCell ref="B3:K3"/>
  </mergeCells>
  <hyperlinks>
    <hyperlink ref="B6" location="'1. Receita Compulsória Líquida'!A1" display="TABELA 1."/>
    <hyperlink ref="B8" location="'2.Custos Ed.Básica e Ed.Continu'!A1" display="TABELA 2."/>
    <hyperlink ref="B10" location="'3.Atend._Ed.Básica e Ed.Continu'!A1" display="TABELA 3."/>
    <hyperlink ref="B12" location="'4.Atend.Grat._Ed.Bás. e Ed.Cont'!A1" display="TABELA 4."/>
    <hyperlink ref="B14" location="'5.Custo Atend_Ed.Bás. e Ed.Cont'!A1" display="TABELA 5."/>
    <hyperlink ref="B16" location="'6.Custo Grat_Ed.Bás. e Cont.'!A1" display="TABELA 6."/>
    <hyperlink ref="B18" location="'7. Tabela Resumo'!A1" display="TABELA 7."/>
    <hyperlink ref="B20" location="Consolidação!A1" display="CONSOLIDAÇÃO"/>
  </hyperlinks>
  <printOptions horizontalCentered="1"/>
  <pageMargins left="0.19685039370078741" right="0.19685039370078741" top="0.47244094488188981" bottom="0.35433070866141736" header="0.31496062992125984" footer="0.15748031496062992"/>
  <pageSetup paperSize="9" scale="94" orientation="portrait" cellComments="asDisplayed" verticalDpi="598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0"/>
  <sheetViews>
    <sheetView showGridLines="0" workbookViewId="0">
      <selection activeCell="E18" sqref="E18"/>
    </sheetView>
  </sheetViews>
  <sheetFormatPr defaultColWidth="11.42578125" defaultRowHeight="12.75"/>
  <cols>
    <col min="1" max="1" width="1.140625" style="5" customWidth="1"/>
    <col min="2" max="6" width="22.42578125" style="7" customWidth="1"/>
    <col min="7" max="7" width="1.140625" style="8" customWidth="1"/>
    <col min="8" max="8" width="20.85546875" style="6" customWidth="1"/>
    <col min="9" max="9" width="16" style="6" customWidth="1"/>
    <col min="10" max="10" width="11.42578125" style="6"/>
    <col min="11" max="11" width="11.5703125" style="6" bestFit="1" customWidth="1"/>
    <col min="12" max="12" width="11.42578125" style="6"/>
    <col min="13" max="13" width="12.28515625" style="6" bestFit="1" customWidth="1"/>
    <col min="14" max="16384" width="11.42578125" style="6"/>
  </cols>
  <sheetData>
    <row r="2" spans="1:9" ht="58.9" customHeight="1">
      <c r="C2" s="102" t="s">
        <v>94</v>
      </c>
      <c r="D2" s="102"/>
      <c r="E2" s="102"/>
      <c r="F2" s="102"/>
    </row>
    <row r="3" spans="1:9" ht="15.75">
      <c r="B3" s="37"/>
      <c r="C3" s="37"/>
      <c r="D3" s="37"/>
      <c r="E3" s="37"/>
      <c r="F3" s="37"/>
    </row>
    <row r="4" spans="1:9" ht="18" customHeight="1">
      <c r="B4" s="107" t="s">
        <v>9</v>
      </c>
      <c r="C4" s="108"/>
      <c r="D4" s="108"/>
      <c r="E4" s="108"/>
      <c r="F4" s="109"/>
      <c r="G4" s="9"/>
    </row>
    <row r="5" spans="1:9" ht="14.25" customHeight="1" thickBot="1">
      <c r="A5" s="5" t="s">
        <v>1</v>
      </c>
      <c r="B5" s="9"/>
      <c r="C5" s="9"/>
      <c r="D5" s="9"/>
      <c r="E5" s="9"/>
      <c r="F5" s="48" t="s">
        <v>27</v>
      </c>
      <c r="G5" s="9"/>
    </row>
    <row r="6" spans="1:9" ht="40.5" customHeight="1">
      <c r="B6" s="59" t="s">
        <v>0</v>
      </c>
      <c r="C6" s="59" t="s">
        <v>54</v>
      </c>
      <c r="D6" s="59" t="s">
        <v>55</v>
      </c>
      <c r="E6" s="59" t="s">
        <v>51</v>
      </c>
      <c r="F6" s="60" t="s">
        <v>52</v>
      </c>
      <c r="G6" s="10"/>
      <c r="I6" s="11"/>
    </row>
    <row r="7" spans="1:9" s="74" customFormat="1" ht="19.5" customHeight="1" thickBot="1">
      <c r="A7" s="70"/>
      <c r="B7" s="71">
        <v>149552130.97999999</v>
      </c>
      <c r="C7" s="71">
        <v>2991042.62</v>
      </c>
      <c r="D7" s="71">
        <f>B7-C7</f>
        <v>146561088.35999998</v>
      </c>
      <c r="E7" s="71">
        <v>4396832.6500000004</v>
      </c>
      <c r="F7" s="72">
        <f>D7-E7</f>
        <v>142164255.70999998</v>
      </c>
      <c r="G7" s="73"/>
      <c r="I7" s="75"/>
    </row>
    <row r="8" spans="1:9">
      <c r="B8" s="4" t="s">
        <v>93</v>
      </c>
      <c r="C8" s="12"/>
      <c r="D8" s="12"/>
      <c r="E8" s="12"/>
      <c r="F8" s="12"/>
      <c r="G8" s="12"/>
      <c r="H8" s="8"/>
      <c r="I8" s="11"/>
    </row>
    <row r="9" spans="1:9" s="13" customFormat="1">
      <c r="G9" s="14"/>
      <c r="I9" s="11"/>
    </row>
    <row r="10" spans="1:9" s="13" customFormat="1">
      <c r="B10" s="38" t="s">
        <v>10</v>
      </c>
    </row>
    <row r="11" spans="1:9" s="13" customFormat="1" ht="40.5" customHeight="1">
      <c r="B11" s="106" t="s">
        <v>53</v>
      </c>
      <c r="C11" s="106"/>
      <c r="D11" s="106"/>
      <c r="E11" s="106"/>
      <c r="F11" s="106"/>
      <c r="G11" s="55"/>
      <c r="H11" s="55"/>
    </row>
    <row r="12" spans="1:9" s="13" customFormat="1"/>
    <row r="13" spans="1:9" s="13" customFormat="1"/>
    <row r="14" spans="1:9" s="13" customFormat="1"/>
    <row r="15" spans="1:9" s="13" customFormat="1"/>
    <row r="16" spans="1:9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pans="7:7" s="13" customFormat="1"/>
    <row r="98" spans="7:7">
      <c r="G98" s="6"/>
    </row>
    <row r="99" spans="7:7">
      <c r="G99" s="6"/>
    </row>
    <row r="100" spans="7:7">
      <c r="G100" s="6"/>
    </row>
    <row r="101" spans="7:7">
      <c r="G101" s="6"/>
    </row>
    <row r="102" spans="7:7">
      <c r="G102" s="6"/>
    </row>
    <row r="103" spans="7:7">
      <c r="G103" s="6"/>
    </row>
    <row r="104" spans="7:7">
      <c r="G104" s="6"/>
    </row>
    <row r="105" spans="7:7">
      <c r="G105" s="6"/>
    </row>
    <row r="106" spans="7:7">
      <c r="G106" s="6"/>
    </row>
    <row r="107" spans="7:7">
      <c r="G107" s="6"/>
    </row>
    <row r="108" spans="7:7">
      <c r="G108" s="6"/>
    </row>
    <row r="109" spans="7:7">
      <c r="G109" s="6"/>
    </row>
    <row r="110" spans="7:7">
      <c r="G110" s="6"/>
    </row>
    <row r="111" spans="7:7">
      <c r="G111" s="6"/>
    </row>
    <row r="112" spans="7:7">
      <c r="G112" s="6"/>
    </row>
    <row r="113" spans="7:7">
      <c r="G113" s="6"/>
    </row>
    <row r="114" spans="7:7">
      <c r="G114" s="6"/>
    </row>
    <row r="115" spans="7:7">
      <c r="G115" s="6"/>
    </row>
    <row r="116" spans="7:7">
      <c r="G116" s="6"/>
    </row>
    <row r="117" spans="7:7">
      <c r="G117" s="6"/>
    </row>
    <row r="118" spans="7:7">
      <c r="G118" s="6"/>
    </row>
    <row r="119" spans="7:7">
      <c r="G119" s="6"/>
    </row>
    <row r="120" spans="7:7">
      <c r="G120" s="6"/>
    </row>
    <row r="121" spans="7:7">
      <c r="G121" s="6"/>
    </row>
    <row r="122" spans="7:7">
      <c r="G122" s="6"/>
    </row>
    <row r="123" spans="7:7">
      <c r="G123" s="6"/>
    </row>
    <row r="124" spans="7:7">
      <c r="G124" s="6"/>
    </row>
    <row r="125" spans="7:7">
      <c r="G125" s="6"/>
    </row>
    <row r="126" spans="7:7">
      <c r="G126" s="6"/>
    </row>
    <row r="127" spans="7:7">
      <c r="G127" s="6"/>
    </row>
    <row r="128" spans="7:7">
      <c r="G128" s="6"/>
    </row>
    <row r="129" spans="7:7">
      <c r="G129" s="6"/>
    </row>
    <row r="130" spans="7:7">
      <c r="G130" s="6"/>
    </row>
    <row r="131" spans="7:7">
      <c r="G131" s="6"/>
    </row>
    <row r="132" spans="7:7">
      <c r="G132" s="6"/>
    </row>
    <row r="133" spans="7:7">
      <c r="G133" s="6"/>
    </row>
    <row r="134" spans="7:7">
      <c r="G134" s="6"/>
    </row>
    <row r="135" spans="7:7">
      <c r="G135" s="6"/>
    </row>
    <row r="136" spans="7:7">
      <c r="G136" s="6"/>
    </row>
    <row r="137" spans="7:7">
      <c r="G137" s="6"/>
    </row>
    <row r="138" spans="7:7">
      <c r="G138" s="6"/>
    </row>
    <row r="139" spans="7:7">
      <c r="G139" s="6"/>
    </row>
    <row r="140" spans="7:7">
      <c r="G140" s="6"/>
    </row>
    <row r="141" spans="7:7">
      <c r="G141" s="6"/>
    </row>
    <row r="142" spans="7:7">
      <c r="G142" s="6"/>
    </row>
    <row r="143" spans="7:7">
      <c r="G143" s="6"/>
    </row>
    <row r="144" spans="7:7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</sheetData>
  <mergeCells count="3">
    <mergeCell ref="B11:F11"/>
    <mergeCell ref="B4:F4"/>
    <mergeCell ref="C2:F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showGridLines="0" tabSelected="1" zoomScaleSheetLayoutView="100" workbookViewId="0">
      <selection activeCell="I12" sqref="I12"/>
    </sheetView>
  </sheetViews>
  <sheetFormatPr defaultColWidth="9.140625" defaultRowHeight="12.75"/>
  <cols>
    <col min="1" max="21" width="16.7109375" style="1" customWidth="1"/>
    <col min="22" max="16384" width="9.140625" style="1"/>
  </cols>
  <sheetData>
    <row r="2" spans="1:21" s="6" customFormat="1" ht="74.25" customHeight="1">
      <c r="B2" s="116" t="s">
        <v>94</v>
      </c>
      <c r="C2" s="116"/>
      <c r="D2" s="116"/>
      <c r="E2" s="116"/>
      <c r="F2" s="116"/>
      <c r="G2" s="116"/>
      <c r="H2" s="116"/>
    </row>
    <row r="3" spans="1:21" s="6" customFormat="1" ht="15.75">
      <c r="B3" s="54"/>
      <c r="C3" s="54"/>
      <c r="D3" s="54"/>
      <c r="E3" s="54"/>
      <c r="F3" s="54"/>
      <c r="G3" s="93"/>
    </row>
    <row r="4" spans="1:21" ht="18" customHeight="1">
      <c r="A4" s="113" t="s">
        <v>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A5" s="2"/>
      <c r="B5" s="2"/>
      <c r="C5" s="2"/>
      <c r="D5" s="2"/>
      <c r="E5" s="2"/>
      <c r="F5" s="2"/>
      <c r="G5" s="2"/>
      <c r="H5" s="48" t="s">
        <v>27</v>
      </c>
    </row>
    <row r="6" spans="1:21" ht="24" customHeight="1">
      <c r="A6" s="119" t="s">
        <v>32</v>
      </c>
      <c r="B6" s="120"/>
      <c r="C6" s="120"/>
      <c r="D6" s="120"/>
      <c r="E6" s="120"/>
      <c r="F6" s="120"/>
      <c r="G6" s="121"/>
      <c r="H6" s="117" t="s">
        <v>56</v>
      </c>
      <c r="I6" s="52" t="s">
        <v>37</v>
      </c>
      <c r="J6" s="110" t="s">
        <v>34</v>
      </c>
      <c r="K6" s="111"/>
      <c r="L6" s="111"/>
      <c r="M6" s="111"/>
      <c r="N6" s="111"/>
      <c r="O6" s="112"/>
      <c r="P6" s="110" t="s">
        <v>36</v>
      </c>
      <c r="Q6" s="111"/>
      <c r="R6" s="112"/>
      <c r="S6" s="110" t="s">
        <v>39</v>
      </c>
      <c r="T6" s="112"/>
      <c r="U6" s="96" t="s">
        <v>61</v>
      </c>
    </row>
    <row r="7" spans="1:21" ht="53.25" customHeight="1">
      <c r="A7" s="57" t="s">
        <v>40</v>
      </c>
      <c r="B7" s="94" t="s">
        <v>99</v>
      </c>
      <c r="C7" s="57" t="s">
        <v>41</v>
      </c>
      <c r="D7" s="57" t="s">
        <v>42</v>
      </c>
      <c r="E7" s="57" t="s">
        <v>43</v>
      </c>
      <c r="F7" s="57" t="s">
        <v>44</v>
      </c>
      <c r="G7" s="94" t="s">
        <v>100</v>
      </c>
      <c r="H7" s="118"/>
      <c r="I7" s="58" t="s">
        <v>38</v>
      </c>
      <c r="J7" s="95" t="s">
        <v>101</v>
      </c>
      <c r="K7" s="95" t="s">
        <v>102</v>
      </c>
      <c r="L7" s="95" t="s">
        <v>103</v>
      </c>
      <c r="M7" s="95" t="s">
        <v>104</v>
      </c>
      <c r="N7" s="95" t="s">
        <v>105</v>
      </c>
      <c r="O7" s="58" t="s">
        <v>33</v>
      </c>
      <c r="P7" s="97" t="s">
        <v>106</v>
      </c>
      <c r="Q7" s="58" t="s">
        <v>46</v>
      </c>
      <c r="R7" s="58" t="s">
        <v>35</v>
      </c>
      <c r="S7" s="97" t="s">
        <v>107</v>
      </c>
      <c r="T7" s="97" t="s">
        <v>108</v>
      </c>
      <c r="U7" s="97"/>
    </row>
    <row r="8" spans="1:21" s="66" customFormat="1" ht="19.5" customHeight="1">
      <c r="A8" s="64">
        <v>36145126.329999998</v>
      </c>
      <c r="B8" s="64">
        <v>25909152.579999998</v>
      </c>
      <c r="C8" s="64"/>
      <c r="D8" s="64">
        <v>2610142.42</v>
      </c>
      <c r="E8" s="64">
        <v>20488815.039999999</v>
      </c>
      <c r="F8" s="64">
        <v>702764.55</v>
      </c>
      <c r="G8" s="64">
        <f>243727.41+293783.31</f>
        <v>537510.72</v>
      </c>
      <c r="H8" s="138">
        <f>SUM(A8:G8)</f>
        <v>86393511.640000001</v>
      </c>
      <c r="I8" s="64">
        <v>3104329.95</v>
      </c>
      <c r="J8" s="64">
        <f>117567.69+2939866.87+6060295.85</f>
        <v>9117730.4100000001</v>
      </c>
      <c r="K8" s="64">
        <f>2747635.92</f>
        <v>2747635.92</v>
      </c>
      <c r="L8" s="64">
        <v>3707157.22</v>
      </c>
      <c r="M8" s="64">
        <v>1868341.14</v>
      </c>
      <c r="N8" s="64">
        <v>1768563.59</v>
      </c>
      <c r="O8" s="64">
        <v>3267971.5</v>
      </c>
      <c r="P8" s="64">
        <v>2912753.15</v>
      </c>
      <c r="Q8" s="64"/>
      <c r="R8" s="64"/>
      <c r="S8" s="64"/>
      <c r="T8" s="64"/>
      <c r="U8" s="138">
        <f>SUM(I8:T8)</f>
        <v>28494482.879999999</v>
      </c>
    </row>
    <row r="9" spans="1:21">
      <c r="A9" s="40" t="s">
        <v>98</v>
      </c>
      <c r="O9" s="100"/>
      <c r="P9" s="100"/>
      <c r="Q9" s="100"/>
      <c r="R9" s="100"/>
    </row>
    <row r="10" spans="1:21">
      <c r="B10" s="17"/>
      <c r="C10" s="17"/>
      <c r="D10" s="17"/>
      <c r="E10" s="17"/>
      <c r="F10" s="17"/>
      <c r="G10" s="17"/>
      <c r="H10" s="16"/>
    </row>
    <row r="11" spans="1:21">
      <c r="A11" s="40" t="s">
        <v>10</v>
      </c>
    </row>
    <row r="12" spans="1:21" ht="42.75" customHeight="1">
      <c r="A12" s="115" t="s">
        <v>58</v>
      </c>
      <c r="B12" s="115"/>
      <c r="C12" s="115"/>
      <c r="D12" s="115"/>
      <c r="E12" s="115"/>
      <c r="F12" s="115"/>
      <c r="G12" s="115"/>
      <c r="H12" s="11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7" spans="6:7">
      <c r="F17" s="98"/>
      <c r="G17" s="98"/>
    </row>
  </sheetData>
  <mergeCells count="8">
    <mergeCell ref="P6:R6"/>
    <mergeCell ref="S6:T6"/>
    <mergeCell ref="A4:U4"/>
    <mergeCell ref="A12:H12"/>
    <mergeCell ref="B2:H2"/>
    <mergeCell ref="H6:H7"/>
    <mergeCell ref="J6:O6"/>
    <mergeCell ref="A6:G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2"/>
  <sheetViews>
    <sheetView showGridLines="0" topLeftCell="K1" workbookViewId="0">
      <selection activeCell="U9" sqref="U9"/>
    </sheetView>
  </sheetViews>
  <sheetFormatPr defaultColWidth="9.140625" defaultRowHeight="12.75"/>
  <cols>
    <col min="1" max="1" width="17.28515625" style="1" customWidth="1"/>
    <col min="2" max="21" width="16.7109375" style="1" customWidth="1"/>
    <col min="22" max="16384" width="9.140625" style="1"/>
  </cols>
  <sheetData>
    <row r="2" spans="1:21" s="6" customFormat="1" ht="72.75" customHeight="1">
      <c r="A2" s="39"/>
      <c r="B2" s="116" t="s">
        <v>94</v>
      </c>
      <c r="C2" s="116"/>
      <c r="D2" s="116"/>
      <c r="E2" s="116"/>
      <c r="F2" s="116"/>
      <c r="G2" s="116"/>
      <c r="H2" s="116"/>
    </row>
    <row r="3" spans="1:21" s="6" customFormat="1" ht="15.75">
      <c r="B3" s="51"/>
      <c r="C3" s="51"/>
      <c r="D3" s="51"/>
      <c r="E3" s="51"/>
      <c r="F3" s="51"/>
      <c r="G3" s="93"/>
    </row>
    <row r="4" spans="1:21" ht="18.75" customHeight="1">
      <c r="A4" s="113" t="s">
        <v>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A5" s="2"/>
      <c r="B5" s="2"/>
      <c r="C5" s="2"/>
      <c r="D5" s="2"/>
      <c r="E5" s="2"/>
      <c r="F5" s="2"/>
      <c r="G5" s="2"/>
      <c r="H5" s="48" t="s">
        <v>27</v>
      </c>
    </row>
    <row r="6" spans="1:21" ht="24" customHeight="1">
      <c r="A6" s="119" t="s">
        <v>32</v>
      </c>
      <c r="B6" s="120"/>
      <c r="C6" s="120"/>
      <c r="D6" s="120"/>
      <c r="E6" s="120"/>
      <c r="F6" s="120"/>
      <c r="G6" s="121"/>
      <c r="H6" s="117" t="s">
        <v>60</v>
      </c>
      <c r="I6" s="52" t="s">
        <v>37</v>
      </c>
      <c r="J6" s="110" t="s">
        <v>34</v>
      </c>
      <c r="K6" s="111"/>
      <c r="L6" s="111"/>
      <c r="M6" s="111"/>
      <c r="N6" s="111"/>
      <c r="O6" s="111"/>
      <c r="P6" s="110" t="s">
        <v>36</v>
      </c>
      <c r="Q6" s="111"/>
      <c r="R6" s="112"/>
      <c r="S6" s="110" t="s">
        <v>39</v>
      </c>
      <c r="T6" s="112"/>
      <c r="U6" s="96" t="s">
        <v>62</v>
      </c>
    </row>
    <row r="7" spans="1:21" ht="37.700000000000003" customHeight="1">
      <c r="A7" s="57" t="s">
        <v>40</v>
      </c>
      <c r="B7" s="101" t="s">
        <v>99</v>
      </c>
      <c r="C7" s="57" t="s">
        <v>41</v>
      </c>
      <c r="D7" s="57" t="s">
        <v>42</v>
      </c>
      <c r="E7" s="57" t="s">
        <v>43</v>
      </c>
      <c r="F7" s="57" t="s">
        <v>44</v>
      </c>
      <c r="G7" s="94" t="s">
        <v>100</v>
      </c>
      <c r="H7" s="118"/>
      <c r="I7" s="58" t="s">
        <v>38</v>
      </c>
      <c r="J7" s="95" t="s">
        <v>101</v>
      </c>
      <c r="K7" s="95" t="s">
        <v>102</v>
      </c>
      <c r="L7" s="95" t="s">
        <v>103</v>
      </c>
      <c r="M7" s="95" t="s">
        <v>104</v>
      </c>
      <c r="N7" s="95" t="s">
        <v>105</v>
      </c>
      <c r="O7" s="95" t="s">
        <v>33</v>
      </c>
      <c r="P7" s="97" t="s">
        <v>106</v>
      </c>
      <c r="Q7" s="97" t="s">
        <v>46</v>
      </c>
      <c r="R7" s="97" t="s">
        <v>35</v>
      </c>
      <c r="S7" s="97" t="s">
        <v>107</v>
      </c>
      <c r="T7" s="97" t="s">
        <v>108</v>
      </c>
      <c r="U7" s="97"/>
    </row>
    <row r="8" spans="1:21" s="69" customFormat="1" ht="19.5" customHeight="1">
      <c r="A8" s="67">
        <f>2887466+88579</f>
        <v>2976045</v>
      </c>
      <c r="B8" s="67">
        <f>2530809+560058</f>
        <v>3090867</v>
      </c>
      <c r="C8" s="67"/>
      <c r="D8" s="67">
        <f>99308+146101</f>
        <v>245409</v>
      </c>
      <c r="E8" s="67">
        <f>844207+20564+4939+943241+35854+765+16298+48042+2012</f>
        <v>1915922</v>
      </c>
      <c r="F8" s="67">
        <f>98370+3726+287</f>
        <v>102383</v>
      </c>
      <c r="G8" s="67">
        <f>73251+181+39879+13573+8601+34+22546+8091+424+4109+41696+4506+1862+8246+9206</f>
        <v>236205</v>
      </c>
      <c r="H8" s="68">
        <f>SUM(A8:G8)</f>
        <v>8566831</v>
      </c>
      <c r="I8" s="67">
        <f>84824+204854+214247+2725+76535</f>
        <v>583185</v>
      </c>
      <c r="J8" s="67">
        <f>25591+2464+248+13777+164704+3030+1609+1398+62954+12140+12527+1005+6268+131</f>
        <v>307846</v>
      </c>
      <c r="K8" s="67">
        <f>41901+4197+69200+7095+28+31681</f>
        <v>154102</v>
      </c>
      <c r="L8" s="67">
        <f>79297+76087+8321+2209+1453+121</f>
        <v>167488</v>
      </c>
      <c r="M8" s="67">
        <f>144764+18+92807+98950+71551+5445+82</f>
        <v>413617</v>
      </c>
      <c r="N8" s="67">
        <f>85551+136763+545</f>
        <v>222859</v>
      </c>
      <c r="O8" s="67">
        <f>2922+400937+78137+1804</f>
        <v>483800</v>
      </c>
      <c r="P8" s="67">
        <f>166174+104142+32624+157565</f>
        <v>460505</v>
      </c>
      <c r="Q8" s="67"/>
      <c r="R8" s="67"/>
      <c r="S8" s="67"/>
      <c r="T8" s="67"/>
      <c r="U8" s="68">
        <f>SUM(I8:T8)</f>
        <v>2793402</v>
      </c>
    </row>
    <row r="9" spans="1:21">
      <c r="A9" s="40" t="s">
        <v>95</v>
      </c>
    </row>
    <row r="10" spans="1:21">
      <c r="B10" s="17"/>
      <c r="C10" s="17"/>
      <c r="D10" s="17"/>
      <c r="E10" s="17"/>
      <c r="F10" s="17"/>
      <c r="G10" s="17"/>
      <c r="H10" s="17"/>
    </row>
    <row r="11" spans="1:21">
      <c r="A11" s="40" t="s">
        <v>10</v>
      </c>
    </row>
    <row r="12" spans="1:21" ht="18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</sheetData>
  <mergeCells count="8">
    <mergeCell ref="A12:N12"/>
    <mergeCell ref="H6:H7"/>
    <mergeCell ref="B2:H2"/>
    <mergeCell ref="A4:U4"/>
    <mergeCell ref="J6:O6"/>
    <mergeCell ref="P6:R6"/>
    <mergeCell ref="S6:T6"/>
    <mergeCell ref="A6:G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topLeftCell="K1" workbookViewId="0">
      <selection activeCell="U9" sqref="U9"/>
    </sheetView>
  </sheetViews>
  <sheetFormatPr defaultColWidth="9.140625" defaultRowHeight="12.75"/>
  <cols>
    <col min="1" max="21" width="16.7109375" style="1" customWidth="1"/>
    <col min="22" max="16384" width="9.140625" style="1"/>
  </cols>
  <sheetData>
    <row r="2" spans="1:21" s="6" customFormat="1" ht="59.25" customHeight="1">
      <c r="A2" s="39"/>
      <c r="B2" s="116" t="s">
        <v>94</v>
      </c>
      <c r="C2" s="116"/>
      <c r="D2" s="116"/>
      <c r="E2" s="116"/>
      <c r="F2" s="116"/>
      <c r="G2" s="116"/>
      <c r="H2" s="116"/>
    </row>
    <row r="3" spans="1:21" s="6" customFormat="1" ht="15.75">
      <c r="B3" s="51"/>
      <c r="C3" s="51"/>
      <c r="D3" s="51"/>
      <c r="E3" s="51"/>
      <c r="F3" s="51"/>
      <c r="G3" s="93"/>
    </row>
    <row r="4" spans="1:21" ht="18" customHeight="1">
      <c r="A4" s="113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A5" s="2"/>
      <c r="B5" s="2"/>
      <c r="C5" s="2"/>
      <c r="D5" s="2"/>
      <c r="E5" s="2"/>
      <c r="F5" s="2"/>
      <c r="G5" s="2"/>
      <c r="H5" s="48"/>
    </row>
    <row r="6" spans="1:21" ht="24" customHeight="1">
      <c r="A6" s="119" t="s">
        <v>32</v>
      </c>
      <c r="B6" s="120"/>
      <c r="C6" s="120"/>
      <c r="D6" s="120"/>
      <c r="E6" s="120"/>
      <c r="F6" s="120"/>
      <c r="G6" s="121"/>
      <c r="H6" s="117" t="s">
        <v>64</v>
      </c>
      <c r="I6" s="52" t="s">
        <v>37</v>
      </c>
      <c r="J6" s="110" t="s">
        <v>34</v>
      </c>
      <c r="K6" s="111"/>
      <c r="L6" s="111"/>
      <c r="M6" s="111"/>
      <c r="N6" s="111"/>
      <c r="O6" s="111"/>
      <c r="P6" s="110" t="s">
        <v>36</v>
      </c>
      <c r="Q6" s="111"/>
      <c r="R6" s="112"/>
      <c r="S6" s="110" t="s">
        <v>39</v>
      </c>
      <c r="T6" s="112"/>
      <c r="U6" s="96" t="s">
        <v>65</v>
      </c>
    </row>
    <row r="7" spans="1:21" ht="51.75" customHeight="1">
      <c r="A7" s="57" t="s">
        <v>40</v>
      </c>
      <c r="B7" s="101" t="s">
        <v>99</v>
      </c>
      <c r="C7" s="57" t="s">
        <v>41</v>
      </c>
      <c r="D7" s="57" t="s">
        <v>42</v>
      </c>
      <c r="E7" s="57" t="s">
        <v>43</v>
      </c>
      <c r="F7" s="57" t="s">
        <v>44</v>
      </c>
      <c r="G7" s="94" t="s">
        <v>100</v>
      </c>
      <c r="H7" s="118"/>
      <c r="I7" s="58" t="s">
        <v>38</v>
      </c>
      <c r="J7" s="95" t="s">
        <v>101</v>
      </c>
      <c r="K7" s="95" t="s">
        <v>102</v>
      </c>
      <c r="L7" s="95" t="s">
        <v>103</v>
      </c>
      <c r="M7" s="95" t="s">
        <v>104</v>
      </c>
      <c r="N7" s="95" t="s">
        <v>105</v>
      </c>
      <c r="O7" s="95" t="s">
        <v>33</v>
      </c>
      <c r="P7" s="97" t="s">
        <v>106</v>
      </c>
      <c r="Q7" s="97" t="s">
        <v>46</v>
      </c>
      <c r="R7" s="97" t="s">
        <v>35</v>
      </c>
      <c r="S7" s="97" t="s">
        <v>107</v>
      </c>
      <c r="T7" s="97" t="s">
        <v>108</v>
      </c>
      <c r="U7" s="97"/>
    </row>
    <row r="8" spans="1:21" s="69" customFormat="1" ht="19.5" customHeight="1">
      <c r="A8" s="67">
        <f>255200</f>
        <v>255200</v>
      </c>
      <c r="B8" s="67">
        <f>415000+307000</f>
        <v>722000</v>
      </c>
      <c r="C8" s="67"/>
      <c r="D8" s="67">
        <f>86551+146101</f>
        <v>232652</v>
      </c>
      <c r="E8" s="67">
        <f>168654</f>
        <v>168654</v>
      </c>
      <c r="F8" s="67"/>
      <c r="G8" s="67">
        <f>36004+8091+4109</f>
        <v>48204</v>
      </c>
      <c r="H8" s="68">
        <f>SUM(A8:G8)</f>
        <v>1426710</v>
      </c>
      <c r="I8" s="62">
        <f>83558+38768+51381+18865</f>
        <v>192572</v>
      </c>
      <c r="J8" s="62">
        <f>23856+2392+13444+3030+1609+62530+12429+1005</f>
        <v>120295</v>
      </c>
      <c r="K8" s="62">
        <f>4197+69200+31681</f>
        <v>105078</v>
      </c>
      <c r="L8" s="62">
        <f>78596+8264+2604</f>
        <v>89464</v>
      </c>
      <c r="M8" s="62">
        <f>144764+92457+98950+71551</f>
        <v>407722</v>
      </c>
      <c r="N8" s="62">
        <f>85551+136465</f>
        <v>222016</v>
      </c>
      <c r="O8" s="62">
        <f>5623+142</f>
        <v>5765</v>
      </c>
      <c r="P8" s="62"/>
      <c r="Q8" s="62"/>
      <c r="R8" s="62"/>
      <c r="S8" s="62"/>
      <c r="T8" s="62"/>
      <c r="U8" s="63">
        <f>SUM(I8:T8)</f>
        <v>1142912</v>
      </c>
    </row>
    <row r="9" spans="1:21">
      <c r="A9" s="40" t="s">
        <v>95</v>
      </c>
      <c r="B9" s="17"/>
      <c r="C9" s="17"/>
      <c r="D9" s="17"/>
      <c r="E9" s="17"/>
      <c r="F9" s="17"/>
      <c r="G9" s="17"/>
      <c r="H9" s="17"/>
    </row>
    <row r="10" spans="1:21">
      <c r="A10" s="40"/>
      <c r="B10" s="17"/>
      <c r="C10" s="17"/>
      <c r="D10" s="17"/>
      <c r="E10" s="17"/>
      <c r="F10" s="17"/>
      <c r="G10" s="17"/>
      <c r="H10" s="99"/>
    </row>
    <row r="11" spans="1:21">
      <c r="A11" s="40" t="s">
        <v>10</v>
      </c>
    </row>
    <row r="12" spans="1:21" ht="24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</sheetData>
  <mergeCells count="8">
    <mergeCell ref="A12:N12"/>
    <mergeCell ref="H6:H7"/>
    <mergeCell ref="B2:H2"/>
    <mergeCell ref="A4:U4"/>
    <mergeCell ref="J6:O6"/>
    <mergeCell ref="P6:R6"/>
    <mergeCell ref="S6:T6"/>
    <mergeCell ref="A6:G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3"/>
  <sheetViews>
    <sheetView showGridLines="0" topLeftCell="K1" workbookViewId="0">
      <selection activeCell="U9" sqref="U9"/>
    </sheetView>
  </sheetViews>
  <sheetFormatPr defaultColWidth="9.140625" defaultRowHeight="12.75"/>
  <cols>
    <col min="1" max="1" width="17.28515625" style="1" customWidth="1"/>
    <col min="2" max="21" width="16.7109375" style="1" customWidth="1"/>
    <col min="22" max="16384" width="9.140625" style="1"/>
  </cols>
  <sheetData>
    <row r="2" spans="1:21" s="6" customFormat="1" ht="58.9" customHeight="1">
      <c r="A2" s="39"/>
      <c r="B2" s="116" t="s">
        <v>94</v>
      </c>
      <c r="C2" s="116"/>
      <c r="D2" s="116"/>
      <c r="E2" s="116"/>
      <c r="F2" s="116"/>
      <c r="G2" s="116"/>
      <c r="H2" s="116"/>
    </row>
    <row r="3" spans="1:21" s="6" customFormat="1" ht="15.75">
      <c r="B3" s="51"/>
      <c r="C3" s="51"/>
      <c r="D3" s="51"/>
      <c r="E3" s="51"/>
      <c r="F3" s="51"/>
      <c r="G3" s="93"/>
    </row>
    <row r="4" spans="1:21" ht="18" customHeight="1">
      <c r="A4" s="113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A5" s="2"/>
      <c r="B5" s="2"/>
      <c r="C5" s="2"/>
      <c r="D5" s="2"/>
      <c r="E5" s="2"/>
      <c r="F5" s="2"/>
      <c r="G5" s="2"/>
      <c r="H5" s="48" t="s">
        <v>27</v>
      </c>
    </row>
    <row r="6" spans="1:21" ht="24" customHeight="1">
      <c r="A6" s="119" t="s">
        <v>32</v>
      </c>
      <c r="B6" s="120"/>
      <c r="C6" s="120"/>
      <c r="D6" s="120"/>
      <c r="E6" s="120"/>
      <c r="F6" s="120"/>
      <c r="G6" s="121"/>
      <c r="H6" s="117" t="s">
        <v>67</v>
      </c>
      <c r="I6" s="52" t="s">
        <v>37</v>
      </c>
      <c r="J6" s="110" t="s">
        <v>34</v>
      </c>
      <c r="K6" s="111"/>
      <c r="L6" s="111"/>
      <c r="M6" s="111"/>
      <c r="N6" s="111"/>
      <c r="O6" s="111"/>
      <c r="P6" s="110" t="s">
        <v>36</v>
      </c>
      <c r="Q6" s="111"/>
      <c r="R6" s="112"/>
      <c r="S6" s="110" t="s">
        <v>39</v>
      </c>
      <c r="T6" s="112"/>
      <c r="U6" s="96" t="s">
        <v>68</v>
      </c>
    </row>
    <row r="7" spans="1:21" ht="51" customHeight="1">
      <c r="A7" s="57" t="s">
        <v>40</v>
      </c>
      <c r="B7" s="101" t="s">
        <v>99</v>
      </c>
      <c r="C7" s="57" t="s">
        <v>41</v>
      </c>
      <c r="D7" s="57" t="s">
        <v>42</v>
      </c>
      <c r="E7" s="57" t="s">
        <v>43</v>
      </c>
      <c r="F7" s="57" t="s">
        <v>44</v>
      </c>
      <c r="G7" s="94" t="s">
        <v>100</v>
      </c>
      <c r="H7" s="118"/>
      <c r="I7" s="58" t="s">
        <v>38</v>
      </c>
      <c r="J7" s="95" t="s">
        <v>101</v>
      </c>
      <c r="K7" s="95" t="s">
        <v>102</v>
      </c>
      <c r="L7" s="95" t="s">
        <v>103</v>
      </c>
      <c r="M7" s="95" t="s">
        <v>104</v>
      </c>
      <c r="N7" s="95" t="s">
        <v>105</v>
      </c>
      <c r="O7" s="95" t="s">
        <v>33</v>
      </c>
      <c r="P7" s="97" t="s">
        <v>106</v>
      </c>
      <c r="Q7" s="97" t="s">
        <v>46</v>
      </c>
      <c r="R7" s="97" t="s">
        <v>35</v>
      </c>
      <c r="S7" s="97" t="s">
        <v>107</v>
      </c>
      <c r="T7" s="97" t="s">
        <v>108</v>
      </c>
      <c r="U7" s="97"/>
    </row>
    <row r="8" spans="1:21" s="66" customFormat="1" ht="19.5" customHeight="1">
      <c r="A8" s="64">
        <f>IFERROR('2.Custos Ed.Básica e Ed.Continu'!A8/'3.Atend._Ed.Básica e Ed.Continu'!A8,0)</f>
        <v>12.145356111886748</v>
      </c>
      <c r="B8" s="64">
        <f>IFERROR('2.Custos Ed.Básica e Ed.Continu'!B8/'3.Atend._Ed.Básica e Ed.Continu'!B8,0)</f>
        <v>8.3824870432794416</v>
      </c>
      <c r="C8" s="64">
        <f>IFERROR('2.Custos Ed.Básica e Ed.Continu'!C8/'3.Atend._Ed.Básica e Ed.Continu'!C8,0)</f>
        <v>0</v>
      </c>
      <c r="D8" s="64">
        <f>IFERROR('2.Custos Ed.Básica e Ed.Continu'!D8/'3.Atend._Ed.Básica e Ed.Continu'!D8,0)</f>
        <v>10.635887110904653</v>
      </c>
      <c r="E8" s="64">
        <f>IFERROR('2.Custos Ed.Básica e Ed.Continu'!E8/'3.Atend._Ed.Básica e Ed.Continu'!E8,0)</f>
        <v>10.693971382968618</v>
      </c>
      <c r="F8" s="64">
        <f>IFERROR('2.Custos Ed.Básica e Ed.Continu'!F8/'3.Atend._Ed.Básica e Ed.Continu'!F8,0)</f>
        <v>6.8640746022288859</v>
      </c>
      <c r="G8" s="64">
        <f>IFERROR('2.Custos Ed.Básica e Ed.Continu'!G8/'3.Atend._Ed.Básica e Ed.Continu'!G8,0)</f>
        <v>2.2756111005270845</v>
      </c>
      <c r="H8" s="64">
        <f>IFERROR('2.Custos Ed.Básica e Ed.Continu'!H8/'3.Atend._Ed.Básica e Ed.Continu'!H8,0)</f>
        <v>10.084652264063573</v>
      </c>
      <c r="I8" s="64">
        <f>IFERROR('2.Custos Ed.Básica e Ed.Continu'!I8/'3.Atend._Ed.Básica e Ed.Continu'!I8,0)</f>
        <v>5.3230620643535076</v>
      </c>
      <c r="J8" s="64">
        <f>IFERROR('2.Custos Ed.Básica e Ed.Continu'!J8/'3.Atend._Ed.Básica e Ed.Continu'!J8,0)</f>
        <v>29.617829726551587</v>
      </c>
      <c r="K8" s="64">
        <f>IFERROR('2.Custos Ed.Básica e Ed.Continu'!K8/'3.Atend._Ed.Básica e Ed.Continu'!K8,0)</f>
        <v>17.829982219568855</v>
      </c>
      <c r="L8" s="64">
        <f>IFERROR('2.Custos Ed.Básica e Ed.Continu'!L8/'3.Atend._Ed.Básica e Ed.Continu'!L8,0)</f>
        <v>22.133867620366832</v>
      </c>
      <c r="M8" s="64">
        <f>IFERROR('2.Custos Ed.Básica e Ed.Continu'!M8/'3.Atend._Ed.Básica e Ed.Continu'!M8,0)</f>
        <v>4.5170801490267563</v>
      </c>
      <c r="N8" s="64">
        <f>IFERROR('2.Custos Ed.Básica e Ed.Continu'!N8/'3.Atend._Ed.Básica e Ed.Continu'!N8,0)</f>
        <v>7.9357961311860867</v>
      </c>
      <c r="O8" s="64">
        <f>IFERROR('2.Custos Ed.Básica e Ed.Continu'!O8/'3.Atend._Ed.Básica e Ed.Continu'!O8,0)</f>
        <v>6.7547984704423314</v>
      </c>
      <c r="P8" s="64">
        <f>IFERROR('2.Custos Ed.Básica e Ed.Continu'!P8/'3.Atend._Ed.Básica e Ed.Continu'!P8,0)</f>
        <v>6.3251281745040773</v>
      </c>
      <c r="Q8" s="64">
        <f>IFERROR('2.Custos Ed.Básica e Ed.Continu'!R8/'3.Atend._Ed.Básica e Ed.Continu'!Q8,0)</f>
        <v>0</v>
      </c>
      <c r="R8" s="64">
        <f>IFERROR('2.Custos Ed.Básica e Ed.Continu'!Q8/'3.Atend._Ed.Básica e Ed.Continu'!R8,0)</f>
        <v>0</v>
      </c>
      <c r="S8" s="64">
        <f>IFERROR('2.Custos Ed.Básica e Ed.Continu'!S8/'3.Atend._Ed.Básica e Ed.Continu'!S8,0)</f>
        <v>0</v>
      </c>
      <c r="T8" s="64">
        <f>IFERROR('2.Custos Ed.Básica e Ed.Continu'!T8/'3.Atend._Ed.Básica e Ed.Continu'!T8,0)</f>
        <v>0</v>
      </c>
      <c r="U8" s="64">
        <f>IFERROR('2.Custos Ed.Básica e Ed.Continu'!U8/'3.Atend._Ed.Básica e Ed.Continu'!U8,0)</f>
        <v>10.200638103645662</v>
      </c>
    </row>
    <row r="9" spans="1:21">
      <c r="A9" s="40" t="s">
        <v>96</v>
      </c>
    </row>
    <row r="10" spans="1:21">
      <c r="B10" s="17"/>
      <c r="C10" s="17"/>
      <c r="D10" s="17"/>
      <c r="E10" s="17"/>
      <c r="F10" s="17"/>
      <c r="G10" s="17"/>
      <c r="H10" s="17"/>
    </row>
    <row r="11" spans="1:21">
      <c r="A11" s="40" t="s">
        <v>10</v>
      </c>
    </row>
    <row r="12" spans="1:21" ht="53.25" customHeight="1">
      <c r="A12" s="115" t="s">
        <v>48</v>
      </c>
      <c r="B12" s="115"/>
      <c r="C12" s="115"/>
      <c r="D12" s="115"/>
      <c r="E12" s="115"/>
      <c r="F12" s="115"/>
      <c r="G12" s="115"/>
      <c r="H12" s="115"/>
    </row>
    <row r="13" spans="1:21" ht="12.75" customHeight="1"/>
  </sheetData>
  <mergeCells count="8">
    <mergeCell ref="A4:U4"/>
    <mergeCell ref="H6:H7"/>
    <mergeCell ref="B2:H2"/>
    <mergeCell ref="A6:G6"/>
    <mergeCell ref="A12:H12"/>
    <mergeCell ref="J6:O6"/>
    <mergeCell ref="P6:R6"/>
    <mergeCell ref="S6:T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"/>
  <sheetViews>
    <sheetView showGridLines="0" topLeftCell="K1" zoomScaleSheetLayoutView="85" workbookViewId="0">
      <selection activeCell="U9" sqref="U9"/>
    </sheetView>
  </sheetViews>
  <sheetFormatPr defaultColWidth="9.140625" defaultRowHeight="12.75"/>
  <cols>
    <col min="1" max="1" width="17.28515625" style="1" customWidth="1"/>
    <col min="2" max="21" width="16.7109375" style="1" customWidth="1"/>
    <col min="22" max="16384" width="9.140625" style="1"/>
  </cols>
  <sheetData>
    <row r="2" spans="1:21" s="6" customFormat="1" ht="58.9" customHeight="1">
      <c r="A2" s="39"/>
      <c r="B2" s="116" t="s">
        <v>94</v>
      </c>
      <c r="C2" s="116"/>
      <c r="D2" s="116"/>
      <c r="E2" s="116"/>
      <c r="F2" s="116"/>
      <c r="G2" s="116"/>
      <c r="H2" s="116"/>
    </row>
    <row r="3" spans="1:21" s="6" customFormat="1" ht="15.75">
      <c r="B3" s="51"/>
      <c r="C3" s="51"/>
      <c r="D3" s="51"/>
      <c r="E3" s="51"/>
      <c r="F3" s="51"/>
      <c r="G3" s="93"/>
    </row>
    <row r="4" spans="1:21" ht="18" customHeight="1">
      <c r="A4" s="113" t="s">
        <v>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A5" s="2"/>
      <c r="B5" s="2"/>
      <c r="C5" s="2"/>
      <c r="D5" s="2"/>
      <c r="E5" s="2"/>
      <c r="F5" s="2"/>
      <c r="G5" s="2"/>
      <c r="H5" s="48" t="s">
        <v>27</v>
      </c>
    </row>
    <row r="6" spans="1:21" ht="24" customHeight="1">
      <c r="A6" s="119" t="s">
        <v>32</v>
      </c>
      <c r="B6" s="120"/>
      <c r="C6" s="120"/>
      <c r="D6" s="120"/>
      <c r="E6" s="120"/>
      <c r="F6" s="120"/>
      <c r="G6" s="121"/>
      <c r="H6" s="117" t="s">
        <v>69</v>
      </c>
      <c r="I6" s="52" t="s">
        <v>37</v>
      </c>
      <c r="J6" s="110" t="s">
        <v>34</v>
      </c>
      <c r="K6" s="111"/>
      <c r="L6" s="111"/>
      <c r="M6" s="111"/>
      <c r="N6" s="111"/>
      <c r="O6" s="111"/>
      <c r="P6" s="110" t="s">
        <v>36</v>
      </c>
      <c r="Q6" s="111"/>
      <c r="R6" s="112"/>
      <c r="S6" s="110" t="s">
        <v>39</v>
      </c>
      <c r="T6" s="112"/>
      <c r="U6" s="96" t="s">
        <v>70</v>
      </c>
    </row>
    <row r="7" spans="1:21" ht="52.5" customHeight="1">
      <c r="A7" s="57" t="s">
        <v>40</v>
      </c>
      <c r="B7" s="101" t="s">
        <v>99</v>
      </c>
      <c r="C7" s="57" t="s">
        <v>41</v>
      </c>
      <c r="D7" s="57" t="s">
        <v>42</v>
      </c>
      <c r="E7" s="57" t="s">
        <v>43</v>
      </c>
      <c r="F7" s="57" t="s">
        <v>44</v>
      </c>
      <c r="G7" s="94" t="s">
        <v>100</v>
      </c>
      <c r="H7" s="118"/>
      <c r="I7" s="58" t="s">
        <v>38</v>
      </c>
      <c r="J7" s="95" t="s">
        <v>101</v>
      </c>
      <c r="K7" s="95" t="s">
        <v>102</v>
      </c>
      <c r="L7" s="95" t="s">
        <v>103</v>
      </c>
      <c r="M7" s="95" t="s">
        <v>104</v>
      </c>
      <c r="N7" s="95" t="s">
        <v>105</v>
      </c>
      <c r="O7" s="95" t="s">
        <v>33</v>
      </c>
      <c r="P7" s="97" t="s">
        <v>106</v>
      </c>
      <c r="Q7" s="97" t="s">
        <v>46</v>
      </c>
      <c r="R7" s="97" t="s">
        <v>35</v>
      </c>
      <c r="S7" s="97" t="s">
        <v>107</v>
      </c>
      <c r="T7" s="97" t="s">
        <v>108</v>
      </c>
      <c r="U7" s="97"/>
    </row>
    <row r="8" spans="1:21" s="66" customFormat="1" ht="19.5" customHeight="1">
      <c r="A8" s="64">
        <v>1597289.15</v>
      </c>
      <c r="B8" s="64">
        <v>9225429.1899999995</v>
      </c>
      <c r="C8" s="64"/>
      <c r="D8" s="64">
        <v>2442497.2200000002</v>
      </c>
      <c r="E8" s="64">
        <v>468639.66</v>
      </c>
      <c r="F8" s="64"/>
      <c r="G8" s="64">
        <f>31434.95+41969.04</f>
        <v>73403.990000000005</v>
      </c>
      <c r="H8" s="65">
        <f>SUM(A8:G8)</f>
        <v>13807259.210000001</v>
      </c>
      <c r="I8" s="76">
        <v>1031030.27</v>
      </c>
      <c r="J8" s="76">
        <f>74576.35+1749708.47+3015443.34</f>
        <v>4839728.16</v>
      </c>
      <c r="K8" s="76">
        <f>1373817.96</f>
        <v>1373817.96</v>
      </c>
      <c r="L8" s="76">
        <v>1954365.98</v>
      </c>
      <c r="M8" s="76">
        <v>1066616.93</v>
      </c>
      <c r="N8" s="64">
        <v>1177757.8500000001</v>
      </c>
      <c r="O8" s="76">
        <v>75635.91</v>
      </c>
      <c r="P8" s="64"/>
      <c r="Q8" s="76"/>
      <c r="R8" s="76"/>
      <c r="S8" s="76"/>
      <c r="T8" s="76"/>
      <c r="U8" s="65">
        <f>SUM(I8:T8)</f>
        <v>11518953.059999999</v>
      </c>
    </row>
    <row r="9" spans="1:21">
      <c r="A9" s="40" t="s">
        <v>95</v>
      </c>
    </row>
    <row r="10" spans="1:21">
      <c r="B10" s="17"/>
      <c r="C10" s="17"/>
      <c r="D10" s="17"/>
      <c r="E10" s="17"/>
      <c r="F10" s="17"/>
      <c r="G10" s="17"/>
      <c r="H10" s="17"/>
    </row>
    <row r="11" spans="1:21">
      <c r="A11" s="40" t="s">
        <v>10</v>
      </c>
    </row>
    <row r="12" spans="1:21" ht="47.25" customHeight="1">
      <c r="A12" s="115" t="s">
        <v>49</v>
      </c>
      <c r="B12" s="115"/>
      <c r="C12" s="115"/>
      <c r="D12" s="115"/>
      <c r="E12" s="115"/>
      <c r="F12" s="115"/>
      <c r="G12" s="115"/>
      <c r="H12" s="115"/>
    </row>
  </sheetData>
  <mergeCells count="8">
    <mergeCell ref="A4:U4"/>
    <mergeCell ref="B2:H2"/>
    <mergeCell ref="H6:H7"/>
    <mergeCell ref="A12:H12"/>
    <mergeCell ref="J6:O6"/>
    <mergeCell ref="P6:R6"/>
    <mergeCell ref="S6:T6"/>
    <mergeCell ref="A6:G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88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0"/>
  <sheetViews>
    <sheetView showGridLines="0" workbookViewId="0">
      <selection activeCell="J3" sqref="J3"/>
    </sheetView>
  </sheetViews>
  <sheetFormatPr defaultColWidth="9.140625" defaultRowHeight="12.75"/>
  <cols>
    <col min="1" max="1" width="21.7109375" style="1" customWidth="1"/>
    <col min="2" max="3" width="20.7109375" style="1" customWidth="1"/>
    <col min="4" max="4" width="8.85546875" style="1" customWidth="1"/>
    <col min="5" max="6" width="15.140625" style="1" hidden="1" customWidth="1"/>
    <col min="7" max="8" width="20.7109375" style="1" customWidth="1"/>
    <col min="9" max="16384" width="9.140625" style="1"/>
  </cols>
  <sheetData>
    <row r="2" spans="1:11" s="6" customFormat="1" ht="65.25" customHeight="1">
      <c r="A2" s="39"/>
      <c r="B2" s="116" t="s">
        <v>94</v>
      </c>
      <c r="C2" s="116"/>
      <c r="D2" s="116"/>
      <c r="E2" s="116"/>
      <c r="F2" s="116"/>
      <c r="G2" s="116"/>
      <c r="H2" s="116"/>
    </row>
    <row r="3" spans="1:11" s="6" customFormat="1">
      <c r="A3" s="5"/>
    </row>
    <row r="4" spans="1:11" ht="18" customHeight="1">
      <c r="A4" s="124" t="s">
        <v>91</v>
      </c>
      <c r="B4" s="125"/>
      <c r="C4" s="125"/>
      <c r="D4" s="125"/>
      <c r="E4" s="125"/>
      <c r="F4" s="125"/>
      <c r="G4" s="125"/>
      <c r="H4" s="126"/>
      <c r="I4" s="6"/>
      <c r="J4" s="6"/>
      <c r="K4" s="6"/>
    </row>
    <row r="5" spans="1:11" ht="13.5" thickBot="1">
      <c r="A5" s="2"/>
      <c r="B5" s="48" t="s">
        <v>27</v>
      </c>
      <c r="C5" s="2"/>
      <c r="G5" s="48" t="s">
        <v>27</v>
      </c>
      <c r="I5" s="6"/>
      <c r="J5" s="6"/>
      <c r="K5" s="6"/>
    </row>
    <row r="6" spans="1:11" ht="23.25" customHeight="1">
      <c r="A6" s="122" t="s">
        <v>52</v>
      </c>
      <c r="B6" s="133" t="s">
        <v>92</v>
      </c>
      <c r="C6" s="131" t="s">
        <v>29</v>
      </c>
      <c r="D6" s="81"/>
      <c r="E6" s="111" t="s">
        <v>12</v>
      </c>
      <c r="F6" s="111"/>
      <c r="G6" s="122" t="s">
        <v>30</v>
      </c>
      <c r="H6" s="131" t="s">
        <v>31</v>
      </c>
    </row>
    <row r="7" spans="1:11" ht="25.5" customHeight="1">
      <c r="A7" s="123"/>
      <c r="B7" s="134"/>
      <c r="C7" s="132"/>
      <c r="D7" s="81"/>
      <c r="E7" s="3" t="s">
        <v>13</v>
      </c>
      <c r="F7" s="86" t="s">
        <v>14</v>
      </c>
      <c r="G7" s="123"/>
      <c r="H7" s="132"/>
    </row>
    <row r="8" spans="1:11" ht="19.5" customHeight="1" thickBot="1">
      <c r="A8" s="83">
        <f>'1. Receita Compulsória Líquida'!F7</f>
        <v>142164255.70999998</v>
      </c>
      <c r="B8" s="84">
        <f>'2.Custos Ed.Básica e Ed.Continu'!H8+'2.Custos Ed.Básica e Ed.Continu'!U8</f>
        <v>114887994.52</v>
      </c>
      <c r="C8" s="85">
        <f>B8/A8</f>
        <v>0.80813558897926729</v>
      </c>
      <c r="D8" s="82"/>
      <c r="E8" s="80">
        <f>'6.Custo Grat_Ed.Bás. e Cont.'!H8</f>
        <v>13807259.210000001</v>
      </c>
      <c r="F8" s="87" t="e">
        <f>#REF!</f>
        <v>#REF!</v>
      </c>
      <c r="G8" s="83">
        <f>'6.Custo Grat_Ed.Bás. e Cont.'!H8+'6.Custo Grat_Ed.Bás. e Cont.'!U8</f>
        <v>25326212.27</v>
      </c>
      <c r="H8" s="85">
        <f>G8/A8</f>
        <v>0.17814753886984636</v>
      </c>
    </row>
    <row r="9" spans="1:11">
      <c r="A9" s="40" t="s">
        <v>23</v>
      </c>
      <c r="B9" s="40"/>
      <c r="D9" s="81"/>
      <c r="G9" s="40" t="s">
        <v>23</v>
      </c>
    </row>
    <row r="10" spans="1:11" s="4" customFormat="1" ht="12">
      <c r="A10" s="79" t="s">
        <v>24</v>
      </c>
      <c r="B10" s="42"/>
      <c r="G10" s="129" t="s">
        <v>24</v>
      </c>
      <c r="H10" s="129"/>
      <c r="I10" s="129"/>
      <c r="J10" s="129"/>
    </row>
    <row r="11" spans="1:11" s="78" customFormat="1" ht="24.75" customHeight="1">
      <c r="A11" s="128" t="s">
        <v>71</v>
      </c>
      <c r="B11" s="128"/>
      <c r="C11" s="128"/>
      <c r="D11" s="77"/>
      <c r="G11" s="130" t="s">
        <v>72</v>
      </c>
      <c r="H11" s="130"/>
      <c r="I11" s="130"/>
      <c r="J11" s="130"/>
    </row>
    <row r="12" spans="1:11">
      <c r="C12" s="16"/>
      <c r="D12" s="16"/>
    </row>
    <row r="13" spans="1:11">
      <c r="A13" s="41" t="s">
        <v>10</v>
      </c>
      <c r="B13" s="41"/>
    </row>
    <row r="14" spans="1:11" ht="33" customHeight="1">
      <c r="A14" s="127" t="s">
        <v>47</v>
      </c>
      <c r="B14" s="127"/>
      <c r="C14" s="127"/>
      <c r="D14" s="127"/>
      <c r="E14" s="127"/>
      <c r="F14" s="127"/>
      <c r="G14" s="127"/>
      <c r="H14" s="127"/>
      <c r="I14" s="56"/>
    </row>
    <row r="16" spans="1:11">
      <c r="B16" s="16"/>
    </row>
    <row r="17" spans="2:2">
      <c r="B17" s="16"/>
    </row>
    <row r="18" spans="2:2">
      <c r="B18" s="16"/>
    </row>
    <row r="19" spans="2:2">
      <c r="B19" s="16"/>
    </row>
    <row r="20" spans="2:2">
      <c r="B20" s="15"/>
    </row>
  </sheetData>
  <mergeCells count="12">
    <mergeCell ref="B2:H2"/>
    <mergeCell ref="B6:B7"/>
    <mergeCell ref="E6:F6"/>
    <mergeCell ref="G6:G7"/>
    <mergeCell ref="C6:C7"/>
    <mergeCell ref="A6:A7"/>
    <mergeCell ref="A4:H4"/>
    <mergeCell ref="A14:H14"/>
    <mergeCell ref="A11:C11"/>
    <mergeCell ref="G10:J10"/>
    <mergeCell ref="G11:J11"/>
    <mergeCell ref="H6:H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showGridLines="0" topLeftCell="A13" workbookViewId="0">
      <selection activeCell="C26" sqref="C26"/>
    </sheetView>
  </sheetViews>
  <sheetFormatPr defaultColWidth="9.140625" defaultRowHeight="12.75"/>
  <cols>
    <col min="1" max="1" width="5.140625" style="1" customWidth="1"/>
    <col min="2" max="2" width="57.140625" style="1" customWidth="1"/>
    <col min="3" max="3" width="25.85546875" style="1" bestFit="1" customWidth="1"/>
    <col min="4" max="4" width="3.28515625" style="1" customWidth="1"/>
    <col min="5" max="5" width="16.85546875" style="1" bestFit="1" customWidth="1"/>
    <col min="6" max="6" width="15.85546875" style="1" customWidth="1"/>
    <col min="7" max="16384" width="9.140625" style="1"/>
  </cols>
  <sheetData>
    <row r="1" spans="1:8" ht="39" customHeight="1"/>
    <row r="2" spans="1:8" s="6" customFormat="1" ht="71.25" customHeight="1">
      <c r="A2" s="39"/>
      <c r="B2" s="116" t="s">
        <v>94</v>
      </c>
      <c r="C2" s="116"/>
      <c r="D2" s="39"/>
      <c r="E2" s="39"/>
      <c r="F2" s="39"/>
      <c r="G2" s="39"/>
      <c r="H2" s="39"/>
    </row>
    <row r="4" spans="1:8" ht="45" customHeight="1">
      <c r="B4" s="135" t="s">
        <v>88</v>
      </c>
      <c r="C4" s="136"/>
    </row>
    <row r="5" spans="1:8">
      <c r="B5" s="18"/>
      <c r="C5" s="19"/>
    </row>
    <row r="6" spans="1:8">
      <c r="B6" s="20" t="s">
        <v>2</v>
      </c>
      <c r="C6" s="21" t="s">
        <v>97</v>
      </c>
    </row>
    <row r="7" spans="1:8">
      <c r="B7" s="22" t="s">
        <v>3</v>
      </c>
      <c r="C7" s="49">
        <f>'1. Receita Compulsória Líquida'!B7</f>
        <v>149552130.97999999</v>
      </c>
    </row>
    <row r="8" spans="1:8">
      <c r="B8" s="36" t="s">
        <v>73</v>
      </c>
      <c r="C8" s="23">
        <f>'1. Receita Compulsória Líquida'!C7</f>
        <v>2991042.62</v>
      </c>
    </row>
    <row r="9" spans="1:8">
      <c r="B9" s="36" t="s">
        <v>74</v>
      </c>
      <c r="C9" s="23">
        <f>'1. Receita Compulsória Líquida'!E7</f>
        <v>4396832.6500000004</v>
      </c>
    </row>
    <row r="10" spans="1:8">
      <c r="B10" s="24" t="s">
        <v>4</v>
      </c>
      <c r="C10" s="50">
        <f>'1. Receita Compulsória Líquida'!F7</f>
        <v>142164255.70999998</v>
      </c>
    </row>
    <row r="11" spans="1:8">
      <c r="B11" s="26"/>
      <c r="C11" s="23"/>
    </row>
    <row r="12" spans="1:8">
      <c r="B12" s="27" t="s">
        <v>15</v>
      </c>
      <c r="C12" s="49">
        <f>C10*33.33%</f>
        <v>47383346.428142987</v>
      </c>
    </row>
    <row r="13" spans="1:8">
      <c r="B13" s="33" t="s">
        <v>20</v>
      </c>
      <c r="C13" s="23"/>
    </row>
    <row r="14" spans="1:8" ht="15">
      <c r="B14" s="33" t="s">
        <v>21</v>
      </c>
      <c r="C14" s="50">
        <f>C12-C13</f>
        <v>47383346.428142987</v>
      </c>
    </row>
    <row r="15" spans="1:8">
      <c r="B15" s="26"/>
      <c r="C15" s="28"/>
    </row>
    <row r="16" spans="1:8">
      <c r="B16" s="27" t="s">
        <v>18</v>
      </c>
      <c r="C16" s="49">
        <f>C10*16.67%</f>
        <v>23698781.426856998</v>
      </c>
    </row>
    <row r="17" spans="2:6">
      <c r="B17" s="33" t="s">
        <v>20</v>
      </c>
      <c r="C17" s="23"/>
    </row>
    <row r="18" spans="2:6" ht="15">
      <c r="B18" s="33" t="s">
        <v>22</v>
      </c>
      <c r="C18" s="50">
        <f>C16-C17</f>
        <v>23698781.426856998</v>
      </c>
    </row>
    <row r="19" spans="2:6">
      <c r="B19" s="33"/>
      <c r="C19" s="25"/>
    </row>
    <row r="20" spans="2:6">
      <c r="B20" s="27" t="s">
        <v>5</v>
      </c>
      <c r="C20" s="28"/>
    </row>
    <row r="21" spans="2:6">
      <c r="B21" s="29" t="s">
        <v>87</v>
      </c>
      <c r="C21" s="50">
        <f>'7. Tabela Resumo'!B8</f>
        <v>114887994.52</v>
      </c>
    </row>
    <row r="22" spans="2:6">
      <c r="B22" s="29" t="s">
        <v>6</v>
      </c>
      <c r="C22" s="50">
        <f>'7. Tabela Resumo'!G8</f>
        <v>25326212.27</v>
      </c>
      <c r="E22" s="16"/>
      <c r="F22" s="15"/>
    </row>
    <row r="23" spans="2:6">
      <c r="B23" s="30"/>
      <c r="C23" s="31"/>
      <c r="E23" s="15"/>
      <c r="F23" s="15"/>
    </row>
    <row r="24" spans="2:6">
      <c r="B24" s="32" t="s">
        <v>16</v>
      </c>
      <c r="C24" s="88">
        <f>C21-C12</f>
        <v>67504648.091857016</v>
      </c>
    </row>
    <row r="25" spans="2:6">
      <c r="B25" s="33" t="s">
        <v>17</v>
      </c>
      <c r="C25" s="89">
        <f>C21/C10</f>
        <v>0.80813558897926729</v>
      </c>
    </row>
    <row r="26" spans="2:6">
      <c r="B26" s="32"/>
      <c r="C26" s="89"/>
    </row>
    <row r="27" spans="2:6">
      <c r="B27" s="32" t="s">
        <v>7</v>
      </c>
      <c r="C27" s="88">
        <f>C22-C16</f>
        <v>1627430.8431430012</v>
      </c>
    </row>
    <row r="28" spans="2:6">
      <c r="B28" s="33" t="s">
        <v>8</v>
      </c>
      <c r="C28" s="89">
        <f>C22/C10</f>
        <v>0.17814753886984636</v>
      </c>
    </row>
    <row r="29" spans="2:6">
      <c r="B29" s="34"/>
      <c r="C29" s="35"/>
    </row>
    <row r="30" spans="2:6">
      <c r="B30" s="13"/>
      <c r="C30" s="13"/>
    </row>
    <row r="31" spans="2:6">
      <c r="B31" s="38" t="s">
        <v>11</v>
      </c>
      <c r="C31" s="14"/>
      <c r="E31" s="17"/>
    </row>
    <row r="32" spans="2:6" ht="136.9" customHeight="1">
      <c r="B32" s="137" t="s">
        <v>19</v>
      </c>
      <c r="C32" s="137"/>
    </row>
    <row r="33" spans="2:5">
      <c r="B33" s="13"/>
      <c r="C33" s="14"/>
      <c r="E33" s="17"/>
    </row>
  </sheetData>
  <mergeCells count="3">
    <mergeCell ref="B2:C2"/>
    <mergeCell ref="B4:C4"/>
    <mergeCell ref="B32:C3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Relação de Tabelas</vt:lpstr>
      <vt:lpstr>1. Receita Compulsória Líquida</vt:lpstr>
      <vt:lpstr>2.Custos Ed.Básica e Ed.Continu</vt:lpstr>
      <vt:lpstr>3.Atend._Ed.Básica e Ed.Continu</vt:lpstr>
      <vt:lpstr>4.Atend.Grat._Ed.Bás. e Ed.Cont</vt:lpstr>
      <vt:lpstr>5.Custo Atend_Ed.Bás. e Ed.Cont</vt:lpstr>
      <vt:lpstr>6.Custo Grat_Ed.Bás. e Cont.</vt:lpstr>
      <vt:lpstr>7. Tabela Resumo</vt:lpstr>
      <vt:lpstr>Consolidação</vt:lpstr>
      <vt:lpstr>'1. Receita Compulsória Líquida'!Area_de_impressao</vt:lpstr>
      <vt:lpstr>'2.Custos Ed.Básica e Ed.Continu'!Area_de_impressao</vt:lpstr>
      <vt:lpstr>'3.Atend._Ed.Básica e Ed.Continu'!Area_de_impressao</vt:lpstr>
      <vt:lpstr>'Relação de Tabelas'!Area_de_impressao</vt:lpstr>
    </vt:vector>
  </TitlesOfParts>
  <Company>Instituto Euvaldo Lodi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maianaferreira</cp:lastModifiedBy>
  <cp:lastPrinted>2016-04-06T13:34:48Z</cp:lastPrinted>
  <dcterms:created xsi:type="dcterms:W3CDTF">2014-12-05T17:57:57Z</dcterms:created>
  <dcterms:modified xsi:type="dcterms:W3CDTF">2018-05-09T14:33:25Z</dcterms:modified>
</cp:coreProperties>
</file>